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8" activeTab="8"/>
  </bookViews>
  <sheets>
    <sheet name="Нуриева Л.Р." sheetId="1" r:id="rId1"/>
    <sheet name="Грошева О.И." sheetId="2" r:id="rId2"/>
    <sheet name="Смета" sheetId="3" r:id="rId3"/>
    <sheet name="Штат.расп." sheetId="4" r:id="rId4"/>
    <sheet name="Ведомость" sheetId="5" r:id="rId5"/>
    <sheet name="МО5" sheetId="6" r:id="rId6"/>
    <sheet name="Заявка" sheetId="7" r:id="rId7"/>
    <sheet name="Лист1" sheetId="8" r:id="rId8"/>
    <sheet name="ГРОШЕВА" sheetId="9" r:id="rId9"/>
  </sheets>
  <definedNames/>
  <calcPr fullCalcOnLoad="1"/>
</workbook>
</file>

<file path=xl/sharedStrings.xml><?xml version="1.0" encoding="utf-8"?>
<sst xmlns="http://schemas.openxmlformats.org/spreadsheetml/2006/main" count="354" uniqueCount="191">
  <si>
    <t>Наполняемость групп, человек</t>
  </si>
  <si>
    <t>Количество часов в неделю</t>
  </si>
  <si>
    <t>Количество часов в месяц</t>
  </si>
  <si>
    <t>Зарплата педагога</t>
  </si>
  <si>
    <t>Начисления на зарплату АУП</t>
  </si>
  <si>
    <t>Итого зарплата педагога</t>
  </si>
  <si>
    <t>Зарплата АУП</t>
  </si>
  <si>
    <t>Итого зарплата АУП</t>
  </si>
  <si>
    <t>Всего заработная плата</t>
  </si>
  <si>
    <t>ст.223 электроэнергия</t>
  </si>
  <si>
    <t>ст.223 отопление</t>
  </si>
  <si>
    <t>ст.223 водоснабжение</t>
  </si>
  <si>
    <t>Увеличение стоимости МЗ</t>
  </si>
  <si>
    <t>Итого доходов</t>
  </si>
  <si>
    <t>руб.</t>
  </si>
  <si>
    <t>*</t>
  </si>
  <si>
    <t>чел.</t>
  </si>
  <si>
    <t>=</t>
  </si>
  <si>
    <t>Коммунальные расходы всего          в т.ч.</t>
  </si>
  <si>
    <t>(</t>
  </si>
  <si>
    <t>)</t>
  </si>
  <si>
    <t>ч.</t>
  </si>
  <si>
    <t>Расходы</t>
  </si>
  <si>
    <t>ст.340</t>
  </si>
  <si>
    <t>№ п/п</t>
  </si>
  <si>
    <t>Наименование</t>
  </si>
  <si>
    <t>Код статьи</t>
  </si>
  <si>
    <t>I</t>
  </si>
  <si>
    <t>Взносы родителей</t>
  </si>
  <si>
    <t>II</t>
  </si>
  <si>
    <t>Начисления на оплату труда</t>
  </si>
  <si>
    <t>Коммунальные услуги</t>
  </si>
  <si>
    <t>Увеличение стоимости материальных запасов</t>
  </si>
  <si>
    <t>Сумма (руб.)</t>
  </si>
  <si>
    <t>Доходы</t>
  </si>
  <si>
    <t xml:space="preserve">Оплата труда </t>
  </si>
  <si>
    <t>№п/п</t>
  </si>
  <si>
    <t>Фамилия</t>
  </si>
  <si>
    <t>Сумма з/п</t>
  </si>
  <si>
    <t>НДФЛ</t>
  </si>
  <si>
    <t>Сумма на руки</t>
  </si>
  <si>
    <t>Накопительная 6%</t>
  </si>
  <si>
    <t>Итого ЗП с начислениями</t>
  </si>
  <si>
    <t>ИТОГО</t>
  </si>
  <si>
    <t>Получатель</t>
  </si>
  <si>
    <t>Идентификатор платежа</t>
  </si>
  <si>
    <t>40101810800000010001</t>
  </si>
  <si>
    <t>УФК по РТ (ОПФ РФ (ГУ) по РТ)                                           ИНН 1650079850                                    КПП 165001001</t>
  </si>
  <si>
    <t>СПРАВКА</t>
  </si>
  <si>
    <t>О НАЧИСЛЕННОЙ ЗАРАБОТНОЙ ПЛАТЕ</t>
  </si>
  <si>
    <t>Расчетные показатели</t>
  </si>
  <si>
    <t>Перечислено в течении месяца</t>
  </si>
  <si>
    <t>К перечислению в окончательном расчете</t>
  </si>
  <si>
    <t>Фонд оплаты труда, всего</t>
  </si>
  <si>
    <t>Удержания , всего</t>
  </si>
  <si>
    <t>2.1</t>
  </si>
  <si>
    <t>в т.ч. подоходный 13%</t>
  </si>
  <si>
    <t>2.2</t>
  </si>
  <si>
    <t>в т.ч. профсоюз 1%</t>
  </si>
  <si>
    <t>2.3</t>
  </si>
  <si>
    <t>в т.ч. прочие удержания</t>
  </si>
  <si>
    <t>2.3.1</t>
  </si>
  <si>
    <t xml:space="preserve">           Госстрах</t>
  </si>
  <si>
    <t>2.3.2</t>
  </si>
  <si>
    <t xml:space="preserve">           Алименты</t>
  </si>
  <si>
    <t>2.3.3</t>
  </si>
  <si>
    <t xml:space="preserve">           Квартплата</t>
  </si>
  <si>
    <t>2.3.4</t>
  </si>
  <si>
    <t xml:space="preserve">           Газеты и журналы</t>
  </si>
  <si>
    <t>3.</t>
  </si>
  <si>
    <t>К выдачи наличными (п1-п2)</t>
  </si>
  <si>
    <t>4</t>
  </si>
  <si>
    <t>Начисления на оплату труда, всего</t>
  </si>
  <si>
    <t>4.1</t>
  </si>
  <si>
    <t>в т.ч. Пенсионный фонд Страховая часть</t>
  </si>
  <si>
    <t>в т.ч. Пенсионный фонд 14% 10%</t>
  </si>
  <si>
    <t>в т.ч. Пенсионный фонд Накопительная часть</t>
  </si>
  <si>
    <t>4.2</t>
  </si>
  <si>
    <t>4.4</t>
  </si>
  <si>
    <t>в т.ч. Фонд соц. Страхования 2,9%</t>
  </si>
  <si>
    <t>5</t>
  </si>
  <si>
    <t>Прочие расходы, всего</t>
  </si>
  <si>
    <t>5.1</t>
  </si>
  <si>
    <t>Больничные</t>
  </si>
  <si>
    <t>5.2</t>
  </si>
  <si>
    <t>Больничные (произв.травма)</t>
  </si>
  <si>
    <t>6</t>
  </si>
  <si>
    <t>Удержан подоходный налог с б/л</t>
  </si>
  <si>
    <t>7</t>
  </si>
  <si>
    <t>К выдачи наличными б/л (П5-П6)</t>
  </si>
  <si>
    <t>8</t>
  </si>
  <si>
    <t>Итого к выдаче наличными (п3+п7)</t>
  </si>
  <si>
    <t xml:space="preserve">Ведомость </t>
  </si>
  <si>
    <t>Заявка на оплату расходов принята:</t>
  </si>
  <si>
    <t>Начальник отдела финансирования</t>
  </si>
  <si>
    <t>Страх. 26%,20%</t>
  </si>
  <si>
    <t>РЕЕСТР ЗАЯВОК</t>
  </si>
  <si>
    <t>Плательщик: МБОУ "Средняя общеобразовательная школа №52"</t>
  </si>
  <si>
    <t>Номер</t>
  </si>
  <si>
    <t xml:space="preserve">Дата </t>
  </si>
  <si>
    <t>Смета</t>
  </si>
  <si>
    <t xml:space="preserve">Счет  получателя </t>
  </si>
  <si>
    <t>Банк получателя</t>
  </si>
  <si>
    <t>Очередность платежа</t>
  </si>
  <si>
    <t xml:space="preserve">КФСР </t>
  </si>
  <si>
    <t xml:space="preserve">КЦСР </t>
  </si>
  <si>
    <t xml:space="preserve">КВР </t>
  </si>
  <si>
    <t>КОСГУ</t>
  </si>
  <si>
    <t xml:space="preserve">КВСР </t>
  </si>
  <si>
    <t>Доп ФК</t>
  </si>
  <si>
    <t>Доп ЭК</t>
  </si>
  <si>
    <t>Доп КР</t>
  </si>
  <si>
    <t>КВФО</t>
  </si>
  <si>
    <t>Разрешение и Источник образования средств</t>
  </si>
  <si>
    <t>Основание</t>
  </si>
  <si>
    <t xml:space="preserve">Сумма </t>
  </si>
  <si>
    <t>1653001805/165002001                                         ФОАО "Ак Барс" г.Набережные Челны</t>
  </si>
  <si>
    <t>0702</t>
  </si>
  <si>
    <t>4219900</t>
  </si>
  <si>
    <t>001</t>
  </si>
  <si>
    <t>20000</t>
  </si>
  <si>
    <t>ГРКЦ НБ Республики Татарстан Банка России г.Казань                                          БИК  049205001</t>
  </si>
  <si>
    <t>211</t>
  </si>
  <si>
    <t>800</t>
  </si>
  <si>
    <t>ГРКЦ НБ Республики Татарстан Банка России г.Казань                                            БИК 049205001</t>
  </si>
  <si>
    <t>213</t>
  </si>
  <si>
    <t>ГРКЦ НБ Республики Татарстан Банка России г.Казань                                                БИК 049205001</t>
  </si>
  <si>
    <t>ГРКЦ НБ Республики Татарстан Банка России г.Казань                                                  БИК 049205001</t>
  </si>
  <si>
    <t xml:space="preserve">Итого:                                                                                                                 </t>
  </si>
  <si>
    <r>
      <t xml:space="preserve">Руководитель      ___________________   </t>
    </r>
    <r>
      <rPr>
        <b/>
        <u val="single"/>
        <sz val="12"/>
        <rFont val="Times New Roman"/>
        <family val="1"/>
      </rPr>
      <t>Кайбышев С.Р.</t>
    </r>
  </si>
  <si>
    <t xml:space="preserve">Отметки территориального отделения </t>
  </si>
  <si>
    <t xml:space="preserve">                           (подпись)               (расшифровка подписи)</t>
  </si>
  <si>
    <t>Департамента Казначейства МФ РТ</t>
  </si>
  <si>
    <t xml:space="preserve">                            (подпись)              (расшифровка подписи)</t>
  </si>
  <si>
    <t>____________________________________</t>
  </si>
  <si>
    <t xml:space="preserve">    М.П.</t>
  </si>
  <si>
    <t>"___"_______________20___г.</t>
  </si>
  <si>
    <t>УФК по РТ (ИФНС РФ по г.Наб.Челны)                                   ИНН 1650040002                  КПП 165001001</t>
  </si>
  <si>
    <t>МБОУ "СОШ № 52" ЛБВ30800663-СОШ52</t>
  </si>
  <si>
    <t>000000</t>
  </si>
  <si>
    <t>520</t>
  </si>
  <si>
    <t>№СОШ52 от 2011-01-01                                    (130)</t>
  </si>
  <si>
    <t>БИК 049205805                                                                              ОАО "АК БАРС" БАНК Г КАЗАНЬ                                                         к/с 30101810000000000805</t>
  </si>
  <si>
    <t>30232810605022260001</t>
  </si>
  <si>
    <r>
      <t xml:space="preserve">Бухгалтер ________________   </t>
    </r>
    <r>
      <rPr>
        <b/>
        <u val="single"/>
        <sz val="12"/>
        <rFont val="Times New Roman"/>
        <family val="1"/>
      </rPr>
      <t>Каюмова А.Ф.</t>
    </r>
  </si>
  <si>
    <t>Начисления на зарплату педагога</t>
  </si>
  <si>
    <t>Зам. директора по УР</t>
  </si>
  <si>
    <t>Бухгалтер</t>
  </si>
  <si>
    <t>Должность</t>
  </si>
  <si>
    <t>Согласовано:  
Зам. руководителя 
Исполнительного комитета 
муниципального образования образования
___________ Халимов Р.М.</t>
  </si>
  <si>
    <t>15%</t>
  </si>
  <si>
    <t>Э/э</t>
  </si>
  <si>
    <t>т/э</t>
  </si>
  <si>
    <t>вода</t>
  </si>
  <si>
    <t>Процент от дохода, %</t>
  </si>
  <si>
    <t>Заработная плата за декабрь 2011 года, согласно списка на пластсчета, без НДС</t>
  </si>
  <si>
    <t>НДФЛ за декабрь 2011 г., без НДС</t>
  </si>
  <si>
    <t xml:space="preserve">Рег.№ в УПФР по РТ 013-401-025765 Страховые взносы на ОПС в ПФ РФ на выплату страховой части труд пенсии  за декабрь 2011 г., без НДС  </t>
  </si>
  <si>
    <t>Рег.№ в УПФР по РТ 013-401-025765 Страховые взносы на ОПС в ПФ РФ на выплату накоп. части труд пенсии за декабрь 2011 г, без НДС</t>
  </si>
  <si>
    <t>Рег.№ в УПФР по РТ 013-401-025765                                               Страховые взносы на ОМС в  ТФОМС 2%                                Рег.№ в ТОМС-924300400802922 за декабрь 2011 г., без НДС</t>
  </si>
  <si>
    <t>Рег.№ в УПФР по РТ 013-401-025765                                                       Страховые взносы на ОМС в  ФФОМС 3.1 %                                          Рег.№ в ТОМС-924300400802922 за декабрь 2011 г., без НДС</t>
  </si>
  <si>
    <t>21.12.2011</t>
  </si>
  <si>
    <t>02;18210102021011000110;92430000000;ТП;МС.12.2011;0;21.12.2011;НС</t>
  </si>
  <si>
    <t>01;39210202010061000160;92430000000;ТП;МС.12.2011;0;21.12.2011;ВЗ</t>
  </si>
  <si>
    <t>01;39210202020061000160;92430000000;ТП;МС.12.2011;0;21.12.2011;ВЗ.</t>
  </si>
  <si>
    <t>01;39210202110091000160;92430000000;ТП;МС.12.2011;0;21.12.2011;ВЗ</t>
  </si>
  <si>
    <t>01;39210202100081000160;92430000000;ТП;МС.12.2011;0;21.12.2011;ВЗ</t>
  </si>
  <si>
    <t xml:space="preserve">Утверждаю 
Директор МБОУ СОШ № 23
__________А.А. Миронов 
</t>
  </si>
  <si>
    <t xml:space="preserve">Штатное расписание 
на организацию платных образовательных услуг
на 2012-2013 уч.год
</t>
  </si>
  <si>
    <t xml:space="preserve">Директор </t>
  </si>
  <si>
    <t xml:space="preserve">Утверждаю 
Директор МБОУ СОШ № 23
__________А.А. Миронов
</t>
  </si>
  <si>
    <t>30.2%</t>
  </si>
  <si>
    <t>30,2%</t>
  </si>
  <si>
    <t xml:space="preserve">Утверждаю 
Директор МБОУ СОШ № 23
__________А.А.  Миронов
</t>
  </si>
  <si>
    <t xml:space="preserve">Грошева О.И. </t>
  </si>
  <si>
    <t>Нуриева Л.Р.</t>
  </si>
  <si>
    <t>Миронов А.А.</t>
  </si>
  <si>
    <t>Манаева Р.А.</t>
  </si>
  <si>
    <t>ФФОМС 5,1%</t>
  </si>
  <si>
    <t>Итого 30.2%</t>
  </si>
  <si>
    <t>Начисление заработной платы за октябрь 2012 г.</t>
  </si>
  <si>
    <t xml:space="preserve">Калькуляция
платных образовательных услуг                                                                                                Курс "Подготовка к школе"    
 преподаватель Грошева О.И.                                                                                                          за октябрь 
 (2012/2013 учебный год)
</t>
  </si>
  <si>
    <t xml:space="preserve">Калькуляция
платных образовательных услуг
Курс "Подготовка к школе"                                                                                                      преподаватель Нуриева Л.Р.                                                                                                   за октябрь
 (2012/2013 учебный год)
</t>
  </si>
  <si>
    <t xml:space="preserve">СМЕТА
на организацию платных образовательных услуг по 
МБОУ «Средняя общеобразовательная школа № 23»                                                за октябрь
на 2012-2013 учебный год
</t>
  </si>
  <si>
    <t xml:space="preserve">Количество часов в неделю </t>
  </si>
  <si>
    <t>МБОУ "СОШ №23"</t>
  </si>
  <si>
    <t>Декабрь 2012 г.</t>
  </si>
  <si>
    <t>в т.ч. ФФОМС 5,1%</t>
  </si>
  <si>
    <t>Бухгалтер__________________Р.А. Манаева</t>
  </si>
  <si>
    <t>Стоимость курса для 1 учащегося  в месяц  5600:14 чел.=400 руб.</t>
  </si>
  <si>
    <t xml:space="preserve">Калькуляция
платных образовательных услуг                                                                                                                                 Курс "Школа будущего первоклассника. Подготовка детей к обучению  в школе"    
 преподаватель Грошева О.И. за месяц
 (2012/2013 учебный год)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</si>
</sst>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%"/>
    <numFmt numFmtId="171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b/>
      <sz val="11"/>
      <color indexed="12"/>
      <name val="Times New Roman Cyr"/>
      <family val="1"/>
    </font>
    <font>
      <b/>
      <sz val="10"/>
      <name val="Times New Roman Cyr"/>
      <family val="1"/>
    </font>
    <font>
      <b/>
      <sz val="12"/>
      <color indexed="12"/>
      <name val="Times New Roman Cyr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2" fontId="63" fillId="0" borderId="0" xfId="0" applyNumberFormat="1" applyFont="1" applyAlignment="1">
      <alignment horizont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1" fontId="66" fillId="0" borderId="10" xfId="0" applyNumberFormat="1" applyFont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2" fontId="63" fillId="0" borderId="0" xfId="0" applyNumberFormat="1" applyFont="1" applyAlignment="1">
      <alignment wrapText="1"/>
    </xf>
    <xf numFmtId="1" fontId="66" fillId="0" borderId="0" xfId="0" applyNumberFormat="1" applyFont="1" applyAlignment="1">
      <alignment/>
    </xf>
    <xf numFmtId="168" fontId="66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63" fillId="0" borderId="0" xfId="0" applyFont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66" fillId="0" borderId="10" xfId="0" applyFont="1" applyFill="1" applyBorder="1" applyAlignment="1">
      <alignment horizontal="center"/>
    </xf>
    <xf numFmtId="2" fontId="66" fillId="0" borderId="10" xfId="0" applyNumberFormat="1" applyFont="1" applyBorder="1" applyAlignment="1">
      <alignment horizontal="center"/>
    </xf>
    <xf numFmtId="2" fontId="64" fillId="0" borderId="0" xfId="0" applyNumberFormat="1" applyFont="1" applyAlignment="1">
      <alignment horizontal="center" wrapText="1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9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Alignment="1">
      <alignment wrapText="1"/>
    </xf>
    <xf numFmtId="0" fontId="0" fillId="0" borderId="0" xfId="0" applyAlignment="1">
      <alignment/>
    </xf>
    <xf numFmtId="0" fontId="65" fillId="0" borderId="10" xfId="0" applyFont="1" applyBorder="1" applyAlignment="1">
      <alignment horizontal="center" wrapText="1"/>
    </xf>
    <xf numFmtId="0" fontId="65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2" fontId="6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2" fontId="63" fillId="0" borderId="0" xfId="0" applyNumberFormat="1" applyFont="1" applyBorder="1" applyAlignment="1">
      <alignment horizontal="center"/>
    </xf>
    <xf numFmtId="2" fontId="63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9" fontId="63" fillId="0" borderId="0" xfId="0" applyNumberFormat="1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2" fontId="64" fillId="0" borderId="0" xfId="0" applyNumberFormat="1" applyFont="1" applyAlignment="1">
      <alignment wrapText="1"/>
    </xf>
    <xf numFmtId="1" fontId="63" fillId="0" borderId="0" xfId="0" applyNumberFormat="1" applyFont="1" applyAlignment="1">
      <alignment wrapText="1"/>
    </xf>
    <xf numFmtId="1" fontId="64" fillId="0" borderId="0" xfId="0" applyNumberFormat="1" applyFont="1" applyAlignment="1">
      <alignment wrapText="1"/>
    </xf>
    <xf numFmtId="9" fontId="63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/>
    </xf>
    <xf numFmtId="9" fontId="68" fillId="0" borderId="0" xfId="0" applyNumberFormat="1" applyFont="1" applyAlignment="1">
      <alignment/>
    </xf>
    <xf numFmtId="0" fontId="69" fillId="0" borderId="0" xfId="0" applyFont="1" applyAlignment="1">
      <alignment/>
    </xf>
    <xf numFmtId="2" fontId="69" fillId="0" borderId="0" xfId="0" applyNumberFormat="1" applyFont="1" applyAlignment="1">
      <alignment/>
    </xf>
    <xf numFmtId="2" fontId="68" fillId="0" borderId="0" xfId="0" applyNumberFormat="1" applyFont="1" applyAlignment="1">
      <alignment/>
    </xf>
    <xf numFmtId="1" fontId="68" fillId="0" borderId="0" xfId="0" applyNumberFormat="1" applyFont="1" applyAlignment="1">
      <alignment horizontal="right"/>
    </xf>
    <xf numFmtId="1" fontId="69" fillId="0" borderId="0" xfId="0" applyNumberFormat="1" applyFont="1" applyAlignment="1">
      <alignment horizontal="right"/>
    </xf>
    <xf numFmtId="2" fontId="64" fillId="0" borderId="0" xfId="0" applyNumberFormat="1" applyFont="1" applyFill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2" fontId="70" fillId="0" borderId="10" xfId="0" applyNumberFormat="1" applyFont="1" applyFill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0" fontId="15" fillId="33" borderId="10" xfId="0" applyFont="1" applyFill="1" applyBorder="1" applyAlignment="1">
      <alignment horizontal="center" wrapText="1"/>
    </xf>
    <xf numFmtId="2" fontId="66" fillId="33" borderId="10" xfId="0" applyNumberFormat="1" applyFont="1" applyFill="1" applyBorder="1" applyAlignment="1">
      <alignment horizontal="center"/>
    </xf>
    <xf numFmtId="2" fontId="70" fillId="33" borderId="1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10" fontId="68" fillId="0" borderId="0" xfId="0" applyNumberFormat="1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/>
    </xf>
    <xf numFmtId="49" fontId="63" fillId="0" borderId="0" xfId="0" applyNumberFormat="1" applyFont="1" applyAlignment="1">
      <alignment horizontal="center"/>
    </xf>
    <xf numFmtId="2" fontId="63" fillId="0" borderId="0" xfId="0" applyNumberFormat="1" applyFont="1" applyAlignment="1">
      <alignment horizontal="center"/>
    </xf>
    <xf numFmtId="0" fontId="63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right" wrapText="1"/>
    </xf>
    <xf numFmtId="0" fontId="71" fillId="0" borderId="0" xfId="0" applyFont="1" applyAlignment="1">
      <alignment horizontal="center" wrapText="1"/>
    </xf>
    <xf numFmtId="9" fontId="63" fillId="0" borderId="0" xfId="0" applyNumberFormat="1" applyFont="1" applyAlignment="1">
      <alignment horizontal="center"/>
    </xf>
    <xf numFmtId="10" fontId="63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center"/>
    </xf>
    <xf numFmtId="10" fontId="63" fillId="0" borderId="0" xfId="0" applyNumberFormat="1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68" fillId="0" borderId="0" xfId="0" applyFont="1" applyAlignment="1">
      <alignment horizontal="left" vertical="top" wrapText="1"/>
    </xf>
    <xf numFmtId="0" fontId="65" fillId="0" borderId="11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1" fontId="1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6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H34" sqref="H34"/>
    </sheetView>
  </sheetViews>
  <sheetFormatPr defaultColWidth="9.140625" defaultRowHeight="15"/>
  <cols>
    <col min="1" max="1" width="2.57421875" style="1" customWidth="1"/>
    <col min="2" max="2" width="5.7109375" style="1" customWidth="1"/>
    <col min="3" max="3" width="4.28125" style="1" customWidth="1"/>
    <col min="4" max="4" width="2.421875" style="1" customWidth="1"/>
    <col min="5" max="5" width="3.57421875" style="1" customWidth="1"/>
    <col min="6" max="6" width="4.7109375" style="1" customWidth="1"/>
    <col min="7" max="7" width="3.28125" style="1" customWidth="1"/>
    <col min="8" max="8" width="2.28125" style="1" customWidth="1"/>
    <col min="9" max="9" width="4.28125" style="1" customWidth="1"/>
    <col min="10" max="10" width="6.140625" style="1" customWidth="1"/>
    <col min="11" max="11" width="2.8515625" style="1" customWidth="1"/>
    <col min="12" max="12" width="6.00390625" style="1" customWidth="1"/>
    <col min="13" max="13" width="6.57421875" style="1" customWidth="1"/>
    <col min="14" max="14" width="2.421875" style="1" customWidth="1"/>
    <col min="15" max="15" width="3.7109375" style="1" customWidth="1"/>
    <col min="16" max="16" width="5.28125" style="1" customWidth="1"/>
    <col min="17" max="17" width="1.421875" style="1" customWidth="1"/>
    <col min="18" max="18" width="2.421875" style="1" customWidth="1"/>
    <col min="19" max="19" width="1.7109375" style="1" customWidth="1"/>
    <col min="20" max="20" width="2.57421875" style="1" customWidth="1"/>
    <col min="21" max="21" width="10.8515625" style="39" bestFit="1" customWidth="1"/>
    <col min="22" max="22" width="9.140625" style="1" customWidth="1"/>
    <col min="23" max="23" width="12.421875" style="1" customWidth="1"/>
    <col min="24" max="16384" width="9.140625" style="1" customWidth="1"/>
  </cols>
  <sheetData>
    <row r="1" spans="1:25" ht="75" customHeight="1">
      <c r="A1" s="124" t="s">
        <v>170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Y1" s="2"/>
    </row>
    <row r="3" spans="1:21" ht="15.75" customHeight="1">
      <c r="A3" s="125" t="s">
        <v>182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6.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18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ht="18.7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5" ht="39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Y8" s="2"/>
    </row>
    <row r="9" spans="2:23" ht="43.5" customHeight="1">
      <c r="B9" s="3"/>
      <c r="C9" s="3"/>
      <c r="D9" s="3"/>
      <c r="E9" s="3"/>
      <c r="F9" s="3"/>
      <c r="G9" s="3"/>
      <c r="H9" s="3"/>
      <c r="V9" s="86"/>
      <c r="W9" s="86"/>
    </row>
    <row r="10" spans="2:21" ht="16.5">
      <c r="B10" s="1" t="s">
        <v>0</v>
      </c>
      <c r="U10" s="39">
        <v>12</v>
      </c>
    </row>
    <row r="11" spans="2:21" ht="16.5">
      <c r="B11" s="1" t="s">
        <v>184</v>
      </c>
      <c r="U11" s="39">
        <v>2</v>
      </c>
    </row>
    <row r="12" spans="2:21" ht="16.5">
      <c r="B12" s="1" t="s">
        <v>2</v>
      </c>
      <c r="U12" s="114">
        <v>4</v>
      </c>
    </row>
    <row r="14" spans="1:21" ht="16.5">
      <c r="A14" s="39">
        <v>1</v>
      </c>
      <c r="B14" s="1" t="s">
        <v>3</v>
      </c>
      <c r="K14" s="118">
        <f>M32</f>
        <v>2350</v>
      </c>
      <c r="L14" s="118"/>
      <c r="M14" s="118"/>
      <c r="N14" s="1" t="s">
        <v>15</v>
      </c>
      <c r="O14" s="126">
        <v>0.6</v>
      </c>
      <c r="P14" s="126"/>
      <c r="U14" s="4">
        <f>K14*60%</f>
        <v>1410</v>
      </c>
    </row>
    <row r="15" spans="1:21" ht="16.5">
      <c r="A15" s="39">
        <v>2</v>
      </c>
      <c r="B15" s="1" t="s">
        <v>145</v>
      </c>
      <c r="K15" s="118">
        <f>U14</f>
        <v>1410</v>
      </c>
      <c r="L15" s="118"/>
      <c r="M15" s="118"/>
      <c r="N15" s="1" t="s">
        <v>15</v>
      </c>
      <c r="O15" s="127">
        <v>0.302</v>
      </c>
      <c r="P15" s="127"/>
      <c r="U15" s="4">
        <f>K15*30.2%</f>
        <v>425.82</v>
      </c>
    </row>
    <row r="16" spans="1:23" ht="16.5">
      <c r="A16" s="39"/>
      <c r="B16" s="5" t="s">
        <v>5</v>
      </c>
      <c r="U16" s="6">
        <f>U14+U15</f>
        <v>1835.82</v>
      </c>
      <c r="V16" s="5"/>
      <c r="W16" s="5"/>
    </row>
    <row r="17" spans="1:21" ht="16.5">
      <c r="A17" s="39"/>
      <c r="U17" s="4"/>
    </row>
    <row r="18" spans="1:23" ht="16.5">
      <c r="A18" s="39">
        <v>3</v>
      </c>
      <c r="B18" s="1" t="s">
        <v>6</v>
      </c>
      <c r="K18" s="118">
        <f>M32</f>
        <v>2350</v>
      </c>
      <c r="L18" s="118"/>
      <c r="M18" s="118"/>
      <c r="N18" s="1" t="s">
        <v>15</v>
      </c>
      <c r="O18" s="120" t="s">
        <v>150</v>
      </c>
      <c r="P18" s="120"/>
      <c r="U18" s="4">
        <f>K18*15%</f>
        <v>352.5</v>
      </c>
      <c r="W18" s="4"/>
    </row>
    <row r="19" spans="1:23" ht="16.5">
      <c r="A19" s="39">
        <v>4</v>
      </c>
      <c r="B19" s="1" t="s">
        <v>4</v>
      </c>
      <c r="K19" s="121">
        <f>U18</f>
        <v>352.5</v>
      </c>
      <c r="L19" s="121"/>
      <c r="M19" s="121"/>
      <c r="N19" s="1" t="s">
        <v>15</v>
      </c>
      <c r="O19" s="120" t="s">
        <v>172</v>
      </c>
      <c r="P19" s="120"/>
      <c r="U19" s="4">
        <f>K19*30.2%</f>
        <v>106.455</v>
      </c>
      <c r="W19" s="4"/>
    </row>
    <row r="20" spans="1:23" ht="16.5">
      <c r="A20" s="39"/>
      <c r="B20" s="5" t="s">
        <v>7</v>
      </c>
      <c r="U20" s="6">
        <f>U18+U19</f>
        <v>458.955</v>
      </c>
      <c r="V20" s="5"/>
      <c r="W20" s="6"/>
    </row>
    <row r="21" spans="1:21" ht="16.5">
      <c r="A21" s="39"/>
      <c r="U21" s="4"/>
    </row>
    <row r="22" spans="1:23" ht="16.5">
      <c r="A22" s="39"/>
      <c r="B22" s="5" t="s"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>U20+U16</f>
        <v>2294.775</v>
      </c>
      <c r="V22" s="5"/>
      <c r="W22" s="85"/>
    </row>
    <row r="23" spans="1:21" ht="16.5">
      <c r="A23" s="39"/>
      <c r="U23" s="4"/>
    </row>
    <row r="24" spans="1:23" ht="30.75" customHeight="1">
      <c r="A24" s="78">
        <v>5</v>
      </c>
      <c r="B24" s="122" t="s">
        <v>18</v>
      </c>
      <c r="C24" s="122"/>
      <c r="D24" s="122"/>
      <c r="E24" s="122"/>
      <c r="F24" s="122"/>
      <c r="G24" s="122"/>
      <c r="H24" s="122"/>
      <c r="I24" s="122"/>
      <c r="J24" s="122"/>
      <c r="K24" s="79"/>
      <c r="L24" s="116"/>
      <c r="M24" s="116"/>
      <c r="N24" s="116"/>
      <c r="O24" s="79"/>
      <c r="P24" s="79"/>
      <c r="Q24" s="79"/>
      <c r="R24" s="79"/>
      <c r="S24" s="79"/>
      <c r="T24" s="79"/>
      <c r="U24" s="80">
        <f>U25+U26+U27</f>
        <v>13.4</v>
      </c>
      <c r="V24" s="5"/>
      <c r="W24" s="5"/>
    </row>
    <row r="25" spans="1:21" ht="16.5">
      <c r="A25" s="78"/>
      <c r="B25" s="79" t="s">
        <v>9</v>
      </c>
      <c r="C25" s="79"/>
      <c r="D25" s="79"/>
      <c r="E25" s="79"/>
      <c r="F25" s="79"/>
      <c r="G25" s="79"/>
      <c r="H25" s="79"/>
      <c r="I25" s="81" t="s">
        <v>19</v>
      </c>
      <c r="J25" s="82">
        <v>1.73</v>
      </c>
      <c r="K25" s="78" t="s">
        <v>15</v>
      </c>
      <c r="L25" s="79">
        <f>U12</f>
        <v>4</v>
      </c>
      <c r="M25" s="79" t="s">
        <v>21</v>
      </c>
      <c r="N25" s="79" t="s">
        <v>20</v>
      </c>
      <c r="O25" s="79"/>
      <c r="P25" s="79"/>
      <c r="Q25" s="79"/>
      <c r="R25" s="79"/>
      <c r="S25" s="79"/>
      <c r="T25" s="79"/>
      <c r="U25" s="83">
        <f>J25*L25</f>
        <v>6.92</v>
      </c>
    </row>
    <row r="26" spans="1:21" ht="16.5">
      <c r="A26" s="78"/>
      <c r="B26" s="79" t="s">
        <v>10</v>
      </c>
      <c r="C26" s="79"/>
      <c r="D26" s="79"/>
      <c r="E26" s="79"/>
      <c r="F26" s="79"/>
      <c r="G26" s="79"/>
      <c r="H26" s="79"/>
      <c r="I26" s="81" t="s">
        <v>19</v>
      </c>
      <c r="J26" s="82">
        <v>1.26</v>
      </c>
      <c r="K26" s="78" t="s">
        <v>15</v>
      </c>
      <c r="L26" s="79">
        <f>U12</f>
        <v>4</v>
      </c>
      <c r="M26" s="79" t="s">
        <v>21</v>
      </c>
      <c r="N26" s="79" t="s">
        <v>20</v>
      </c>
      <c r="O26" s="79"/>
      <c r="P26" s="79"/>
      <c r="Q26" s="79"/>
      <c r="R26" s="79"/>
      <c r="S26" s="79"/>
      <c r="T26" s="79"/>
      <c r="U26" s="83">
        <f>J26*L26</f>
        <v>5.04</v>
      </c>
    </row>
    <row r="27" spans="1:21" ht="16.5">
      <c r="A27" s="78"/>
      <c r="B27" s="79" t="s">
        <v>11</v>
      </c>
      <c r="C27" s="79"/>
      <c r="D27" s="79"/>
      <c r="E27" s="79"/>
      <c r="F27" s="79"/>
      <c r="G27" s="79"/>
      <c r="H27" s="79"/>
      <c r="I27" s="81" t="s">
        <v>19</v>
      </c>
      <c r="J27" s="82">
        <v>0.03</v>
      </c>
      <c r="K27" s="78" t="s">
        <v>15</v>
      </c>
      <c r="L27" s="79">
        <f>U12</f>
        <v>4</v>
      </c>
      <c r="M27" s="79" t="s">
        <v>21</v>
      </c>
      <c r="N27" s="78" t="s">
        <v>15</v>
      </c>
      <c r="O27" s="79">
        <f>U10</f>
        <v>12</v>
      </c>
      <c r="P27" s="79" t="s">
        <v>16</v>
      </c>
      <c r="Q27" s="79" t="s">
        <v>20</v>
      </c>
      <c r="R27" s="79"/>
      <c r="S27" s="79"/>
      <c r="T27" s="79"/>
      <c r="U27" s="83">
        <f>J27*L27*O27</f>
        <v>1.44</v>
      </c>
    </row>
    <row r="28" spans="1:21" ht="16.5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3"/>
    </row>
    <row r="29" spans="1:23" ht="16.5">
      <c r="A29" s="88">
        <v>6</v>
      </c>
      <c r="B29" s="79" t="s">
        <v>12</v>
      </c>
      <c r="C29" s="79"/>
      <c r="D29" s="79"/>
      <c r="E29" s="79"/>
      <c r="F29" s="79"/>
      <c r="G29" s="79"/>
      <c r="H29" s="79"/>
      <c r="I29" s="79"/>
      <c r="J29" s="116"/>
      <c r="K29" s="117"/>
      <c r="L29" s="123" t="s">
        <v>23</v>
      </c>
      <c r="M29" s="123"/>
      <c r="N29" s="123"/>
      <c r="O29" s="123"/>
      <c r="P29" s="123"/>
      <c r="Q29" s="79"/>
      <c r="R29" s="79"/>
      <c r="S29" s="79"/>
      <c r="T29" s="79"/>
      <c r="U29" s="83">
        <f>M32-U22-U24</f>
        <v>41.82499999999991</v>
      </c>
      <c r="V29" s="79"/>
      <c r="W29" s="85"/>
    </row>
    <row r="30" spans="1:21" ht="16.5">
      <c r="A30" s="39"/>
      <c r="U30" s="6"/>
    </row>
    <row r="31" spans="2:23" ht="16.5">
      <c r="B31" s="1" t="s">
        <v>13</v>
      </c>
      <c r="L31" s="118" t="s">
        <v>22</v>
      </c>
      <c r="M31" s="118"/>
      <c r="N31" s="118"/>
      <c r="O31" s="118"/>
      <c r="P31" s="118"/>
      <c r="U31" s="101">
        <f>U22+U24+U29</f>
        <v>2350</v>
      </c>
      <c r="W31" s="84"/>
    </row>
    <row r="32" spans="2:21" ht="16.5">
      <c r="B32" s="1">
        <v>50</v>
      </c>
      <c r="C32" s="1" t="s">
        <v>14</v>
      </c>
      <c r="D32" s="39" t="s">
        <v>15</v>
      </c>
      <c r="E32" s="39">
        <f>U10</f>
        <v>12</v>
      </c>
      <c r="F32" s="1" t="s">
        <v>16</v>
      </c>
      <c r="G32" s="39" t="s">
        <v>15</v>
      </c>
      <c r="H32" s="1">
        <v>4</v>
      </c>
      <c r="I32" s="39" t="s">
        <v>17</v>
      </c>
      <c r="J32" s="119">
        <f>B32*E32*H32</f>
        <v>2400</v>
      </c>
      <c r="K32" s="119"/>
      <c r="L32" s="1">
        <v>-50</v>
      </c>
      <c r="M32" s="1">
        <f>J32+L32</f>
        <v>2350</v>
      </c>
      <c r="U32" s="4"/>
    </row>
    <row r="33" ht="16.5">
      <c r="U33" s="4"/>
    </row>
    <row r="34" ht="16.5">
      <c r="U34" s="4"/>
    </row>
  </sheetData>
  <sheetProtection/>
  <mergeCells count="16">
    <mergeCell ref="A1:U1"/>
    <mergeCell ref="A3:U8"/>
    <mergeCell ref="K14:M14"/>
    <mergeCell ref="O14:P14"/>
    <mergeCell ref="K15:M15"/>
    <mergeCell ref="O15:P15"/>
    <mergeCell ref="J29:K29"/>
    <mergeCell ref="L31:P31"/>
    <mergeCell ref="J32:K32"/>
    <mergeCell ref="K18:M18"/>
    <mergeCell ref="O18:P18"/>
    <mergeCell ref="K19:M19"/>
    <mergeCell ref="O19:P19"/>
    <mergeCell ref="B24:J24"/>
    <mergeCell ref="L29:P29"/>
    <mergeCell ref="L24:N2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B43" sqref="B43"/>
    </sheetView>
  </sheetViews>
  <sheetFormatPr defaultColWidth="9.140625" defaultRowHeight="15"/>
  <cols>
    <col min="1" max="1" width="3.140625" style="1" customWidth="1"/>
    <col min="2" max="2" width="5.140625" style="1" customWidth="1"/>
    <col min="3" max="3" width="4.28125" style="1" customWidth="1"/>
    <col min="4" max="4" width="2.421875" style="1" customWidth="1"/>
    <col min="5" max="5" width="3.57421875" style="1" customWidth="1"/>
    <col min="6" max="6" width="4.7109375" style="1" customWidth="1"/>
    <col min="7" max="7" width="2.8515625" style="1" customWidth="1"/>
    <col min="8" max="8" width="3.57421875" style="1" customWidth="1"/>
    <col min="9" max="9" width="2.140625" style="1" customWidth="1"/>
    <col min="10" max="10" width="7.00390625" style="1" customWidth="1"/>
    <col min="11" max="11" width="1.8515625" style="1" customWidth="1"/>
    <col min="12" max="13" width="6.28125" style="1" customWidth="1"/>
    <col min="14" max="14" width="2.421875" style="1" customWidth="1"/>
    <col min="15" max="15" width="3.7109375" style="1" customWidth="1"/>
    <col min="16" max="16" width="5.28125" style="1" customWidth="1"/>
    <col min="17" max="17" width="2.57421875" style="1" customWidth="1"/>
    <col min="18" max="18" width="4.8515625" style="1" customWidth="1"/>
    <col min="19" max="19" width="2.8515625" style="1" customWidth="1"/>
    <col min="20" max="20" width="4.28125" style="1" customWidth="1"/>
    <col min="21" max="21" width="10.8515625" style="62" bestFit="1" customWidth="1"/>
    <col min="22" max="22" width="13.7109375" style="1" customWidth="1"/>
    <col min="23" max="23" width="13.421875" style="1" customWidth="1"/>
    <col min="24" max="16384" width="9.140625" style="1" customWidth="1"/>
  </cols>
  <sheetData>
    <row r="1" spans="1:25" ht="69.75" customHeight="1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94"/>
      <c r="W1" s="94"/>
      <c r="X1" s="94"/>
      <c r="Y1" s="2"/>
    </row>
    <row r="2" spans="21:24" ht="18.75" customHeight="1">
      <c r="U2" s="87"/>
      <c r="V2" s="94"/>
      <c r="W2" s="94"/>
      <c r="X2" s="94"/>
    </row>
    <row r="3" spans="1:24" ht="30.75" customHeight="1">
      <c r="A3" s="125" t="s">
        <v>181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94"/>
      <c r="W3" s="94"/>
      <c r="X3" s="94"/>
    </row>
    <row r="4" spans="1:24" ht="16.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94"/>
      <c r="W4" s="94"/>
      <c r="X4" s="94"/>
    </row>
    <row r="5" spans="1:24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94"/>
      <c r="W5" s="94"/>
      <c r="X5" s="94"/>
    </row>
    <row r="6" spans="1:24" ht="18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94"/>
      <c r="W6" s="94"/>
      <c r="X6" s="94"/>
    </row>
    <row r="7" spans="1:24" ht="16.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94"/>
      <c r="W7" s="94"/>
      <c r="X7" s="94"/>
    </row>
    <row r="8" spans="1:25" ht="27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94"/>
      <c r="W8" s="94"/>
      <c r="X8" s="94"/>
      <c r="Y8" s="2"/>
    </row>
    <row r="9" spans="2:24" ht="20.25" customHeight="1">
      <c r="B9" s="3"/>
      <c r="C9" s="3"/>
      <c r="D9" s="3"/>
      <c r="E9" s="3"/>
      <c r="F9" s="3"/>
      <c r="G9" s="3"/>
      <c r="H9" s="3"/>
      <c r="U9" s="87"/>
      <c r="V9" s="95"/>
      <c r="W9" s="95"/>
      <c r="X9" s="94"/>
    </row>
    <row r="10" spans="2:24" ht="16.5">
      <c r="B10" s="1" t="s">
        <v>0</v>
      </c>
      <c r="U10" s="87">
        <v>12</v>
      </c>
      <c r="V10" s="94"/>
      <c r="W10" s="94"/>
      <c r="X10" s="94"/>
    </row>
    <row r="11" spans="2:24" ht="16.5">
      <c r="B11" s="1" t="s">
        <v>1</v>
      </c>
      <c r="U11" s="87">
        <v>2</v>
      </c>
      <c r="V11" s="94"/>
      <c r="W11" s="94"/>
      <c r="X11" s="94"/>
    </row>
    <row r="12" spans="2:24" ht="16.5">
      <c r="B12" s="1" t="s">
        <v>2</v>
      </c>
      <c r="U12" s="87">
        <v>4</v>
      </c>
      <c r="V12" s="94"/>
      <c r="W12" s="94"/>
      <c r="X12" s="94"/>
    </row>
    <row r="13" spans="21:24" ht="18" customHeight="1">
      <c r="U13" s="87"/>
      <c r="V13" s="94"/>
      <c r="W13" s="94"/>
      <c r="X13" s="94"/>
    </row>
    <row r="14" spans="1:24" ht="16.5">
      <c r="A14" s="87">
        <v>1</v>
      </c>
      <c r="B14" s="1" t="s">
        <v>3</v>
      </c>
      <c r="K14" s="118">
        <f>M32</f>
        <v>2350</v>
      </c>
      <c r="L14" s="118"/>
      <c r="M14" s="118"/>
      <c r="N14" s="1" t="s">
        <v>15</v>
      </c>
      <c r="O14" s="126">
        <v>0.6</v>
      </c>
      <c r="P14" s="126"/>
      <c r="U14" s="4">
        <f>K14*60%</f>
        <v>1410</v>
      </c>
      <c r="V14" s="94"/>
      <c r="W14" s="94"/>
      <c r="X14" s="94"/>
    </row>
    <row r="15" spans="1:24" ht="16.5">
      <c r="A15" s="87">
        <v>2</v>
      </c>
      <c r="B15" s="1" t="s">
        <v>145</v>
      </c>
      <c r="K15" s="128">
        <f>U14</f>
        <v>1410</v>
      </c>
      <c r="L15" s="118"/>
      <c r="M15" s="118"/>
      <c r="N15" s="1" t="s">
        <v>15</v>
      </c>
      <c r="O15" s="127">
        <v>0.302</v>
      </c>
      <c r="P15" s="127"/>
      <c r="U15" s="4">
        <f>K15*O15</f>
        <v>425.82</v>
      </c>
      <c r="V15" s="94"/>
      <c r="W15" s="94"/>
      <c r="X15" s="94"/>
    </row>
    <row r="16" spans="1:24" ht="21" customHeight="1">
      <c r="A16" s="87"/>
      <c r="B16" s="5" t="s">
        <v>5</v>
      </c>
      <c r="U16" s="6">
        <f>SUM(U14:U15)</f>
        <v>1835.82</v>
      </c>
      <c r="V16" s="96"/>
      <c r="W16" s="96"/>
      <c r="X16" s="94"/>
    </row>
    <row r="17" spans="1:24" ht="18" customHeight="1">
      <c r="A17" s="87"/>
      <c r="U17" s="4"/>
      <c r="V17" s="94"/>
      <c r="W17" s="94"/>
      <c r="X17" s="94"/>
    </row>
    <row r="18" spans="1:24" ht="16.5">
      <c r="A18" s="87">
        <v>3</v>
      </c>
      <c r="B18" s="1" t="s">
        <v>6</v>
      </c>
      <c r="K18" s="118">
        <f>M32</f>
        <v>2350</v>
      </c>
      <c r="L18" s="118"/>
      <c r="M18" s="118"/>
      <c r="N18" s="1" t="s">
        <v>15</v>
      </c>
      <c r="O18" s="120" t="s">
        <v>150</v>
      </c>
      <c r="P18" s="120"/>
      <c r="U18" s="4">
        <f>K18*15%</f>
        <v>352.5</v>
      </c>
      <c r="V18" s="94"/>
      <c r="W18" s="99"/>
      <c r="X18" s="94"/>
    </row>
    <row r="19" spans="1:24" ht="16.5">
      <c r="A19" s="87">
        <v>4</v>
      </c>
      <c r="B19" s="1" t="s">
        <v>4</v>
      </c>
      <c r="K19" s="121">
        <f>U18</f>
        <v>352.5</v>
      </c>
      <c r="L19" s="121"/>
      <c r="M19" s="121"/>
      <c r="N19" s="1" t="s">
        <v>15</v>
      </c>
      <c r="O19" s="120" t="s">
        <v>171</v>
      </c>
      <c r="P19" s="120"/>
      <c r="U19" s="4">
        <f>K19*30.2%</f>
        <v>106.455</v>
      </c>
      <c r="V19" s="94"/>
      <c r="W19" s="99"/>
      <c r="X19" s="94"/>
    </row>
    <row r="20" spans="1:24" ht="16.5">
      <c r="A20" s="87"/>
      <c r="B20" s="5" t="s">
        <v>7</v>
      </c>
      <c r="U20" s="6">
        <f>U18+U19</f>
        <v>458.955</v>
      </c>
      <c r="V20" s="96"/>
      <c r="W20" s="100"/>
      <c r="X20" s="94"/>
    </row>
    <row r="21" spans="1:24" ht="14.25" customHeight="1">
      <c r="A21" s="87"/>
      <c r="U21" s="4"/>
      <c r="V21" s="94"/>
      <c r="W21" s="99"/>
      <c r="X21" s="94"/>
    </row>
    <row r="22" spans="1:24" ht="16.5">
      <c r="A22" s="87"/>
      <c r="B22" s="5" t="s"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>U16+U20</f>
        <v>2294.775</v>
      </c>
      <c r="V22" s="96"/>
      <c r="W22" s="100"/>
      <c r="X22" s="94"/>
    </row>
    <row r="23" spans="1:24" ht="18.75" customHeight="1">
      <c r="A23" s="87"/>
      <c r="U23" s="4"/>
      <c r="V23" s="94"/>
      <c r="W23" s="94"/>
      <c r="X23" s="94"/>
    </row>
    <row r="24" spans="1:24" ht="32.25" customHeight="1">
      <c r="A24" s="88">
        <v>5</v>
      </c>
      <c r="B24" s="122" t="s">
        <v>18</v>
      </c>
      <c r="C24" s="122"/>
      <c r="D24" s="122"/>
      <c r="E24" s="122"/>
      <c r="F24" s="122"/>
      <c r="G24" s="122"/>
      <c r="H24" s="122"/>
      <c r="I24" s="122"/>
      <c r="J24" s="122"/>
      <c r="K24" s="79"/>
      <c r="L24" s="129">
        <v>0.0049</v>
      </c>
      <c r="M24" s="123"/>
      <c r="N24" s="123"/>
      <c r="O24" s="79"/>
      <c r="P24" s="79"/>
      <c r="Q24" s="79"/>
      <c r="R24" s="79"/>
      <c r="S24" s="79"/>
      <c r="T24" s="79"/>
      <c r="U24" s="80">
        <f>U25+U26+U27</f>
        <v>13.4</v>
      </c>
      <c r="V24" s="96"/>
      <c r="W24" s="96"/>
      <c r="X24" s="94"/>
    </row>
    <row r="25" spans="1:24" ht="16.5">
      <c r="A25" s="88"/>
      <c r="B25" s="79" t="s">
        <v>9</v>
      </c>
      <c r="C25" s="79"/>
      <c r="D25" s="79"/>
      <c r="E25" s="79"/>
      <c r="F25" s="79"/>
      <c r="G25" s="79"/>
      <c r="H25" s="79"/>
      <c r="I25" s="81" t="s">
        <v>19</v>
      </c>
      <c r="J25" s="82">
        <v>1.73</v>
      </c>
      <c r="K25" s="88" t="s">
        <v>15</v>
      </c>
      <c r="L25" s="79">
        <f>$U$12</f>
        <v>4</v>
      </c>
      <c r="M25" s="79" t="s">
        <v>21</v>
      </c>
      <c r="N25" s="79" t="s">
        <v>20</v>
      </c>
      <c r="O25" s="79"/>
      <c r="P25" s="79"/>
      <c r="Q25" s="79"/>
      <c r="R25" s="79"/>
      <c r="S25" s="79"/>
      <c r="T25" s="79"/>
      <c r="U25" s="83">
        <f>J25*L25</f>
        <v>6.92</v>
      </c>
      <c r="V25" s="94"/>
      <c r="W25" s="94"/>
      <c r="X25" s="94"/>
    </row>
    <row r="26" spans="1:24" ht="16.5">
      <c r="A26" s="88"/>
      <c r="B26" s="79" t="s">
        <v>10</v>
      </c>
      <c r="C26" s="79"/>
      <c r="D26" s="79"/>
      <c r="E26" s="79"/>
      <c r="F26" s="79"/>
      <c r="G26" s="79"/>
      <c r="H26" s="79"/>
      <c r="I26" s="81" t="s">
        <v>19</v>
      </c>
      <c r="J26" s="82">
        <v>1.26</v>
      </c>
      <c r="K26" s="88" t="s">
        <v>15</v>
      </c>
      <c r="L26" s="79">
        <f>$U$12</f>
        <v>4</v>
      </c>
      <c r="M26" s="79" t="s">
        <v>21</v>
      </c>
      <c r="N26" s="79" t="s">
        <v>20</v>
      </c>
      <c r="O26" s="79"/>
      <c r="P26" s="79"/>
      <c r="Q26" s="79"/>
      <c r="R26" s="79"/>
      <c r="S26" s="79"/>
      <c r="T26" s="79"/>
      <c r="U26" s="83">
        <f>J26*L26</f>
        <v>5.04</v>
      </c>
      <c r="V26" s="94"/>
      <c r="W26" s="94"/>
      <c r="X26" s="94"/>
    </row>
    <row r="27" spans="1:24" ht="16.5">
      <c r="A27" s="88"/>
      <c r="B27" s="79" t="s">
        <v>11</v>
      </c>
      <c r="C27" s="79"/>
      <c r="D27" s="79"/>
      <c r="E27" s="79"/>
      <c r="F27" s="79"/>
      <c r="G27" s="79"/>
      <c r="H27" s="79"/>
      <c r="I27" s="81" t="s">
        <v>19</v>
      </c>
      <c r="J27" s="82">
        <v>0.03</v>
      </c>
      <c r="K27" s="88" t="s">
        <v>15</v>
      </c>
      <c r="L27" s="79">
        <f>$U$12</f>
        <v>4</v>
      </c>
      <c r="M27" s="79" t="s">
        <v>21</v>
      </c>
      <c r="N27" s="88" t="s">
        <v>15</v>
      </c>
      <c r="O27" s="79">
        <f>U10</f>
        <v>12</v>
      </c>
      <c r="P27" s="79" t="s">
        <v>16</v>
      </c>
      <c r="Q27" s="79" t="s">
        <v>20</v>
      </c>
      <c r="R27" s="79"/>
      <c r="S27" s="79"/>
      <c r="T27" s="79"/>
      <c r="U27" s="83">
        <f>J27*L27*O27</f>
        <v>1.44</v>
      </c>
      <c r="V27" s="94"/>
      <c r="W27" s="94"/>
      <c r="X27" s="94"/>
    </row>
    <row r="28" spans="1:24" ht="16.5">
      <c r="A28" s="8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3"/>
      <c r="V28" s="94"/>
      <c r="W28" s="94"/>
      <c r="X28" s="94"/>
    </row>
    <row r="29" spans="1:24" ht="16.5">
      <c r="A29" s="88">
        <v>6</v>
      </c>
      <c r="B29" s="79" t="s">
        <v>12</v>
      </c>
      <c r="C29" s="79"/>
      <c r="D29" s="79"/>
      <c r="E29" s="79"/>
      <c r="F29" s="79"/>
      <c r="G29" s="79"/>
      <c r="H29" s="79"/>
      <c r="I29" s="79"/>
      <c r="J29" s="129">
        <v>0.1429</v>
      </c>
      <c r="K29" s="123"/>
      <c r="L29" s="123" t="s">
        <v>23</v>
      </c>
      <c r="M29" s="123"/>
      <c r="N29" s="123"/>
      <c r="O29" s="123"/>
      <c r="P29" s="123"/>
      <c r="Q29" s="79"/>
      <c r="R29" s="79"/>
      <c r="S29" s="79"/>
      <c r="T29" s="79"/>
      <c r="U29" s="80">
        <f>M32-U22-U24</f>
        <v>41.82499999999991</v>
      </c>
      <c r="V29" s="94"/>
      <c r="W29" s="97"/>
      <c r="X29" s="94"/>
    </row>
    <row r="30" spans="1:24" ht="18" customHeight="1">
      <c r="A30" s="87"/>
      <c r="U30" s="6"/>
      <c r="V30" s="94"/>
      <c r="W30" s="94"/>
      <c r="X30" s="94"/>
    </row>
    <row r="31" spans="2:24" ht="16.5">
      <c r="B31" s="1" t="s">
        <v>13</v>
      </c>
      <c r="L31" s="118" t="s">
        <v>22</v>
      </c>
      <c r="M31" s="118"/>
      <c r="N31" s="118"/>
      <c r="O31" s="118"/>
      <c r="P31" s="118"/>
      <c r="U31" s="101">
        <f>U22+U24+U29</f>
        <v>2350</v>
      </c>
      <c r="V31" s="94"/>
      <c r="W31" s="98"/>
      <c r="X31" s="94"/>
    </row>
    <row r="32" spans="2:24" ht="16.5">
      <c r="B32" s="1">
        <v>50</v>
      </c>
      <c r="C32" s="1" t="s">
        <v>14</v>
      </c>
      <c r="D32" s="87" t="s">
        <v>15</v>
      </c>
      <c r="E32" s="87">
        <f>U10</f>
        <v>12</v>
      </c>
      <c r="F32" s="1" t="s">
        <v>16</v>
      </c>
      <c r="G32" s="87" t="s">
        <v>15</v>
      </c>
      <c r="H32" s="1">
        <v>4</v>
      </c>
      <c r="I32" s="87" t="s">
        <v>17</v>
      </c>
      <c r="J32" s="118">
        <f>B32*E32*H32</f>
        <v>2400</v>
      </c>
      <c r="K32" s="118"/>
      <c r="L32" s="1">
        <v>-50</v>
      </c>
      <c r="M32" s="1">
        <f>J32+L32</f>
        <v>2350</v>
      </c>
      <c r="U32" s="4"/>
      <c r="V32" s="94"/>
      <c r="W32" s="94"/>
      <c r="X32" s="94"/>
    </row>
    <row r="33" spans="21:24" ht="16.5">
      <c r="U33" s="87"/>
      <c r="V33" s="22"/>
      <c r="W33" s="22"/>
      <c r="X33" s="22"/>
    </row>
    <row r="34" ht="16.5">
      <c r="U34" s="87"/>
    </row>
  </sheetData>
  <sheetProtection/>
  <mergeCells count="16">
    <mergeCell ref="L31:P31"/>
    <mergeCell ref="J32:K32"/>
    <mergeCell ref="K18:M18"/>
    <mergeCell ref="O18:P18"/>
    <mergeCell ref="K19:M19"/>
    <mergeCell ref="O19:P19"/>
    <mergeCell ref="B24:J24"/>
    <mergeCell ref="L29:P29"/>
    <mergeCell ref="L24:N24"/>
    <mergeCell ref="J29:K29"/>
    <mergeCell ref="A1:U1"/>
    <mergeCell ref="A3:U8"/>
    <mergeCell ref="K14:M14"/>
    <mergeCell ref="O14:P14"/>
    <mergeCell ref="K15:M15"/>
    <mergeCell ref="O15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8515625" style="2" customWidth="1"/>
    <col min="2" max="2" width="39.57421875" style="2" customWidth="1"/>
    <col min="3" max="3" width="12.421875" style="2" customWidth="1"/>
    <col min="4" max="4" width="21.57421875" style="2" customWidth="1"/>
    <col min="5" max="6" width="9.57421875" style="2" bestFit="1" customWidth="1"/>
    <col min="7" max="16384" width="9.140625" style="2" customWidth="1"/>
  </cols>
  <sheetData>
    <row r="1" spans="1:4" ht="16.5" customHeight="1">
      <c r="A1" s="124" t="s">
        <v>170</v>
      </c>
      <c r="B1" s="124"/>
      <c r="C1" s="124"/>
      <c r="D1" s="124"/>
    </row>
    <row r="2" spans="1:4" ht="56.25" customHeight="1">
      <c r="A2" s="124"/>
      <c r="B2" s="124"/>
      <c r="C2" s="124"/>
      <c r="D2" s="124"/>
    </row>
    <row r="4" spans="1:4" ht="102.75" customHeight="1">
      <c r="A4" s="130" t="s">
        <v>183</v>
      </c>
      <c r="B4" s="130"/>
      <c r="C4" s="130"/>
      <c r="D4" s="130"/>
    </row>
    <row r="6" spans="1:6" s="7" customFormat="1" ht="47.25" customHeight="1">
      <c r="A6" s="7" t="s">
        <v>24</v>
      </c>
      <c r="B6" s="7" t="s">
        <v>25</v>
      </c>
      <c r="C6" s="7" t="s">
        <v>26</v>
      </c>
      <c r="D6" s="7" t="s">
        <v>33</v>
      </c>
      <c r="E6" s="93"/>
      <c r="F6" s="93"/>
    </row>
    <row r="7" spans="1:5" ht="19.5" customHeight="1">
      <c r="A7" s="8" t="s">
        <v>27</v>
      </c>
      <c r="B7" s="9" t="s">
        <v>34</v>
      </c>
      <c r="D7" s="69">
        <f>D8</f>
        <v>4700</v>
      </c>
      <c r="E7" s="89">
        <v>4600</v>
      </c>
    </row>
    <row r="8" spans="1:5" ht="19.5" customHeight="1">
      <c r="A8" s="8">
        <v>1</v>
      </c>
      <c r="B8" s="2" t="s">
        <v>28</v>
      </c>
      <c r="D8" s="10">
        <f>'Нуриева Л.Р.'!U31+'Грошева О.И.'!U31</f>
        <v>4700</v>
      </c>
      <c r="E8" s="31">
        <f>'Нуриева Л.Р.'!M32+'Грошева О.И.'!M32</f>
        <v>4700</v>
      </c>
    </row>
    <row r="9" spans="1:6" ht="19.5" customHeight="1">
      <c r="A9" s="8" t="s">
        <v>29</v>
      </c>
      <c r="B9" s="9" t="s">
        <v>22</v>
      </c>
      <c r="D9" s="69">
        <f>SUM(D10:D13)</f>
        <v>4700</v>
      </c>
      <c r="E9" s="90">
        <f>E10+E12+E11+E13</f>
        <v>4700</v>
      </c>
      <c r="F9" s="92"/>
    </row>
    <row r="10" spans="1:6" ht="19.5" customHeight="1">
      <c r="A10" s="8">
        <v>1</v>
      </c>
      <c r="B10" s="2" t="s">
        <v>35</v>
      </c>
      <c r="C10" s="8">
        <v>211</v>
      </c>
      <c r="D10" s="10">
        <f>'Нуриева Л.Р.'!U14+'Нуриева Л.Р.'!U18+'Грошева О.И.'!U14+'Грошева О.И.'!U18</f>
        <v>3525</v>
      </c>
      <c r="E10" s="91">
        <f>'Нуриева Л.Р.'!U14+'Нуриева Л.Р.'!U18+'Грошева О.И.'!U14+'Грошева О.И.'!U18</f>
        <v>3525</v>
      </c>
      <c r="F10" s="91"/>
    </row>
    <row r="11" spans="1:6" ht="19.5" customHeight="1">
      <c r="A11" s="8">
        <v>2</v>
      </c>
      <c r="B11" s="2" t="s">
        <v>30</v>
      </c>
      <c r="C11" s="8">
        <v>213</v>
      </c>
      <c r="D11" s="10">
        <f>'Нуриева Л.Р.'!U15+'Нуриева Л.Р.'!U19+'Грошева О.И.'!U15+'Грошева О.И.'!U19</f>
        <v>1064.55</v>
      </c>
      <c r="E11" s="91">
        <f>'Нуриева Л.Р.'!U15+'Нуриева Л.Р.'!U19+'Грошева О.И.'!U15+'Грошева О.И.'!U19</f>
        <v>1064.55</v>
      </c>
      <c r="F11" s="91"/>
    </row>
    <row r="12" spans="1:6" ht="19.5" customHeight="1">
      <c r="A12" s="8">
        <v>3</v>
      </c>
      <c r="B12" s="2" t="s">
        <v>31</v>
      </c>
      <c r="C12" s="8">
        <v>223</v>
      </c>
      <c r="D12" s="10">
        <f>'Нуриева Л.Р.'!U24+'Грошева О.И.'!U24</f>
        <v>26.8</v>
      </c>
      <c r="E12" s="31">
        <f>'Нуриева Л.Р.'!U24+'Грошева О.И.'!U24</f>
        <v>26.8</v>
      </c>
      <c r="F12" s="31"/>
    </row>
    <row r="13" spans="1:6" ht="36" customHeight="1">
      <c r="A13" s="7">
        <v>4</v>
      </c>
      <c r="B13" s="2" t="s">
        <v>32</v>
      </c>
      <c r="C13" s="8">
        <v>340</v>
      </c>
      <c r="D13" s="10">
        <f>'Нуриева Л.Р.'!U29+'Грошева О.И.'!U29</f>
        <v>83.64999999999982</v>
      </c>
      <c r="E13" s="31">
        <f>'Нуриева Л.Р.'!U29+'Грошева О.И.'!U29</f>
        <v>83.64999999999982</v>
      </c>
      <c r="F13" s="91"/>
    </row>
    <row r="14" spans="4:6" ht="16.5">
      <c r="D14" s="8"/>
      <c r="F14" s="31"/>
    </row>
    <row r="16" ht="16.5">
      <c r="D16" s="31"/>
    </row>
  </sheetData>
  <sheetProtection/>
  <mergeCells count="2">
    <mergeCell ref="A4:D4"/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3.00390625" style="13" customWidth="1"/>
    <col min="2" max="2" width="12.140625" style="13" customWidth="1"/>
    <col min="3" max="3" width="28.421875" style="13" customWidth="1"/>
    <col min="4" max="4" width="20.8515625" style="13" customWidth="1"/>
    <col min="5" max="5" width="9.7109375" style="13" bestFit="1" customWidth="1"/>
    <col min="6" max="7" width="9.140625" style="13" customWidth="1"/>
    <col min="8" max="8" width="29.00390625" style="13" customWidth="1"/>
    <col min="9" max="9" width="13.57421875" style="13" customWidth="1"/>
    <col min="10" max="16384" width="9.140625" style="13" customWidth="1"/>
  </cols>
  <sheetData>
    <row r="1" spans="1:5" ht="96" customHeight="1">
      <c r="A1" s="131" t="s">
        <v>149</v>
      </c>
      <c r="B1" s="131"/>
      <c r="C1" s="131"/>
      <c r="D1" s="131" t="s">
        <v>167</v>
      </c>
      <c r="E1" s="131"/>
    </row>
    <row r="2" spans="1:4" ht="20.25" customHeight="1">
      <c r="A2" s="74"/>
      <c r="B2" s="74"/>
      <c r="C2" s="74"/>
      <c r="D2" s="74"/>
    </row>
    <row r="4" spans="1:5" ht="93" customHeight="1">
      <c r="A4" s="134" t="s">
        <v>168</v>
      </c>
      <c r="B4" s="134"/>
      <c r="C4" s="134"/>
      <c r="D4" s="134"/>
      <c r="E4" s="134"/>
    </row>
    <row r="5" spans="1:4" s="28" customFormat="1" ht="37.5">
      <c r="A5" s="13"/>
      <c r="B5" s="73" t="s">
        <v>24</v>
      </c>
      <c r="C5" s="70" t="s">
        <v>148</v>
      </c>
      <c r="D5" s="76" t="s">
        <v>154</v>
      </c>
    </row>
    <row r="6" spans="1:4" s="29" customFormat="1" ht="24.75" customHeight="1">
      <c r="A6" s="13"/>
      <c r="B6" s="70">
        <v>1</v>
      </c>
      <c r="C6" s="77" t="s">
        <v>169</v>
      </c>
      <c r="D6" s="72">
        <v>0.34</v>
      </c>
    </row>
    <row r="7" spans="1:4" s="30" customFormat="1" ht="24.75" customHeight="1">
      <c r="A7" s="13"/>
      <c r="B7" s="70">
        <v>2</v>
      </c>
      <c r="C7" s="71" t="s">
        <v>146</v>
      </c>
      <c r="D7" s="72">
        <v>0.33</v>
      </c>
    </row>
    <row r="8" spans="1:4" s="30" customFormat="1" ht="24.75" customHeight="1">
      <c r="A8" s="13"/>
      <c r="B8" s="70">
        <v>3</v>
      </c>
      <c r="C8" s="71" t="s">
        <v>147</v>
      </c>
      <c r="D8" s="72">
        <v>0.33</v>
      </c>
    </row>
    <row r="9" spans="1:4" s="30" customFormat="1" ht="24.75" customHeight="1">
      <c r="A9" s="13"/>
      <c r="B9" s="132" t="s">
        <v>43</v>
      </c>
      <c r="C9" s="133"/>
      <c r="D9" s="72">
        <v>1</v>
      </c>
    </row>
    <row r="10" spans="1:4" s="30" customFormat="1" ht="24.75" customHeight="1">
      <c r="A10" s="13"/>
      <c r="B10" s="13"/>
      <c r="C10" s="13"/>
      <c r="D10" s="13"/>
    </row>
    <row r="11" ht="24.75" customHeight="1"/>
    <row r="12" ht="24.75" customHeight="1"/>
    <row r="13" ht="24.75" customHeight="1"/>
    <row r="14" ht="24.75" customHeight="1"/>
  </sheetData>
  <sheetProtection/>
  <mergeCells count="4">
    <mergeCell ref="A1:C1"/>
    <mergeCell ref="D1:E1"/>
    <mergeCell ref="B9:C9"/>
    <mergeCell ref="A4:E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6.28125" style="22" customWidth="1"/>
    <col min="2" max="2" width="19.28125" style="22" customWidth="1"/>
    <col min="3" max="3" width="11.28125" style="32" customWidth="1"/>
    <col min="4" max="4" width="8.140625" style="32" customWidth="1"/>
    <col min="5" max="5" width="12.140625" style="32" customWidth="1"/>
    <col min="6" max="6" width="9.7109375" style="22" hidden="1" customWidth="1"/>
    <col min="7" max="7" width="11.421875" style="22" customWidth="1"/>
    <col min="8" max="8" width="10.28125" style="22" hidden="1" customWidth="1"/>
    <col min="9" max="9" width="16.57421875" style="22" customWidth="1"/>
    <col min="10" max="10" width="11.140625" style="22" customWidth="1"/>
    <col min="11" max="11" width="13.421875" style="22" customWidth="1"/>
    <col min="12" max="12" width="15.421875" style="22" customWidth="1"/>
    <col min="13" max="16384" width="9.140625" style="22" customWidth="1"/>
  </cols>
  <sheetData>
    <row r="1" spans="1:12" ht="28.5" customHeight="1">
      <c r="A1" s="135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2" ht="30">
      <c r="A3" s="63" t="s">
        <v>36</v>
      </c>
      <c r="B3" s="64" t="s">
        <v>37</v>
      </c>
      <c r="C3" s="24" t="s">
        <v>38</v>
      </c>
      <c r="D3" s="65" t="s">
        <v>39</v>
      </c>
      <c r="E3" s="65" t="s">
        <v>40</v>
      </c>
      <c r="F3" s="66"/>
      <c r="G3" s="66" t="s">
        <v>95</v>
      </c>
      <c r="H3" s="66"/>
      <c r="I3" s="66" t="s">
        <v>41</v>
      </c>
      <c r="J3" s="66" t="s">
        <v>178</v>
      </c>
      <c r="K3" s="111" t="s">
        <v>179</v>
      </c>
      <c r="L3" s="66" t="s">
        <v>42</v>
      </c>
    </row>
    <row r="4" spans="1:12" s="26" customFormat="1" ht="24.75" customHeight="1">
      <c r="A4" s="67">
        <v>1</v>
      </c>
      <c r="B4" s="61" t="s">
        <v>174</v>
      </c>
      <c r="C4" s="25">
        <f>'Грошева О.И.'!U14</f>
        <v>1410</v>
      </c>
      <c r="D4" s="68">
        <f>C4*13%</f>
        <v>183.3</v>
      </c>
      <c r="E4" s="68">
        <f>C4-D4</f>
        <v>1226.7</v>
      </c>
      <c r="F4" s="25"/>
      <c r="G4" s="68">
        <f>C4*20%</f>
        <v>282</v>
      </c>
      <c r="H4" s="25"/>
      <c r="I4" s="25">
        <f>C4*6%</f>
        <v>84.6</v>
      </c>
      <c r="J4" s="68">
        <f>C4*5.1%</f>
        <v>71.91</v>
      </c>
      <c r="K4" s="112">
        <f>SUM(G4:J4)</f>
        <v>438.51</v>
      </c>
      <c r="L4" s="68">
        <f>C4+K4</f>
        <v>1848.51</v>
      </c>
    </row>
    <row r="5" spans="1:12" s="26" customFormat="1" ht="24.75" customHeight="1">
      <c r="A5" s="67">
        <v>2</v>
      </c>
      <c r="B5" s="61" t="s">
        <v>175</v>
      </c>
      <c r="C5" s="25">
        <f>'Нуриева Л.Р.'!U14</f>
        <v>1410</v>
      </c>
      <c r="D5" s="68">
        <f>C5*13%</f>
        <v>183.3</v>
      </c>
      <c r="E5" s="68">
        <f>C5-D5</f>
        <v>1226.7</v>
      </c>
      <c r="F5" s="25"/>
      <c r="G5" s="68">
        <f>C5*20%</f>
        <v>282</v>
      </c>
      <c r="H5" s="25"/>
      <c r="I5" s="25">
        <f>C5*6%</f>
        <v>84.6</v>
      </c>
      <c r="J5" s="68">
        <f>C5*5.1%</f>
        <v>71.91</v>
      </c>
      <c r="K5" s="112">
        <f>SUM(G5:J5)</f>
        <v>438.51</v>
      </c>
      <c r="L5" s="68">
        <f>C5+K5</f>
        <v>1848.51</v>
      </c>
    </row>
    <row r="6" spans="1:12" s="26" customFormat="1" ht="24.75" customHeight="1">
      <c r="A6" s="67">
        <v>3</v>
      </c>
      <c r="B6" s="61" t="s">
        <v>176</v>
      </c>
      <c r="C6" s="25">
        <f>Смета!D7*'Штат.расп.'!D9/3</f>
        <v>1566.6666666666667</v>
      </c>
      <c r="D6" s="68">
        <f>C6*13%</f>
        <v>203.66666666666669</v>
      </c>
      <c r="E6" s="68">
        <f>C6-D6</f>
        <v>1363</v>
      </c>
      <c r="F6" s="25"/>
      <c r="G6" s="68">
        <f>C6*20%</f>
        <v>313.33333333333337</v>
      </c>
      <c r="H6" s="25"/>
      <c r="I6" s="25">
        <f>C6*6%</f>
        <v>94</v>
      </c>
      <c r="J6" s="68">
        <f>C6*5.1%</f>
        <v>79.9</v>
      </c>
      <c r="K6" s="112">
        <f>SUM(G6:J6)</f>
        <v>487.23333333333335</v>
      </c>
      <c r="L6" s="68">
        <f>C6+K6</f>
        <v>2053.9</v>
      </c>
    </row>
    <row r="7" spans="1:12" s="26" customFormat="1" ht="24.75" customHeight="1">
      <c r="A7" s="67">
        <v>4</v>
      </c>
      <c r="B7" s="61" t="s">
        <v>174</v>
      </c>
      <c r="C7" s="25">
        <f>Смета!D7*'Штат.расп.'!D9/3</f>
        <v>1566.6666666666667</v>
      </c>
      <c r="D7" s="68">
        <f>C7*13%</f>
        <v>203.66666666666669</v>
      </c>
      <c r="E7" s="68">
        <f>C7-D7</f>
        <v>1363</v>
      </c>
      <c r="F7" s="25"/>
      <c r="G7" s="68">
        <f>C7*20%</f>
        <v>313.33333333333337</v>
      </c>
      <c r="H7" s="25"/>
      <c r="I7" s="25">
        <f>C7*6%</f>
        <v>94</v>
      </c>
      <c r="J7" s="68">
        <f>C7*5.1%</f>
        <v>79.9</v>
      </c>
      <c r="K7" s="112">
        <f>SUM(G7:J7)</f>
        <v>487.23333333333335</v>
      </c>
      <c r="L7" s="68">
        <f>C7+K7</f>
        <v>2053.9</v>
      </c>
    </row>
    <row r="8" spans="1:12" s="26" customFormat="1" ht="24.75" customHeight="1">
      <c r="A8" s="67">
        <v>5</v>
      </c>
      <c r="B8" s="61" t="s">
        <v>177</v>
      </c>
      <c r="C8" s="25">
        <f>Смета!D7*'Штат.расп.'!D9/3</f>
        <v>1566.6666666666667</v>
      </c>
      <c r="D8" s="68">
        <f>C8*13%</f>
        <v>203.66666666666669</v>
      </c>
      <c r="E8" s="68">
        <f>C8-D8</f>
        <v>1363</v>
      </c>
      <c r="F8" s="25"/>
      <c r="G8" s="68">
        <f>C8*20%</f>
        <v>313.33333333333337</v>
      </c>
      <c r="H8" s="25"/>
      <c r="I8" s="25">
        <f>C8*6%</f>
        <v>94</v>
      </c>
      <c r="J8" s="68">
        <f>C8*5.1%</f>
        <v>79.9</v>
      </c>
      <c r="K8" s="112">
        <f>SUM(G8:J8)</f>
        <v>487.23333333333335</v>
      </c>
      <c r="L8" s="68">
        <f>C8+K8</f>
        <v>2053.9</v>
      </c>
    </row>
    <row r="9" spans="1:12" s="26" customFormat="1" ht="24.75" customHeight="1">
      <c r="A9" s="67"/>
      <c r="B9" s="108" t="s">
        <v>43</v>
      </c>
      <c r="C9" s="109">
        <f>SUM(C4:C8)</f>
        <v>7520.000000000001</v>
      </c>
      <c r="D9" s="110">
        <f>SUM(D4:D8)</f>
        <v>977.6000000000001</v>
      </c>
      <c r="E9" s="110">
        <f>SUM(E4:E8)</f>
        <v>6542.4</v>
      </c>
      <c r="F9" s="109"/>
      <c r="G9" s="110">
        <f>SUM(G4:G8)</f>
        <v>1504</v>
      </c>
      <c r="H9" s="109"/>
      <c r="I9" s="109">
        <f>SUM(I4:I8)</f>
        <v>451.2</v>
      </c>
      <c r="J9" s="110">
        <f>SUM(J4:J8)</f>
        <v>383.52</v>
      </c>
      <c r="K9" s="113">
        <f>SUM(K4:K8)</f>
        <v>2338.7200000000003</v>
      </c>
      <c r="L9" s="110">
        <f>SUM(L4:L8)</f>
        <v>9858.72</v>
      </c>
    </row>
    <row r="10" spans="1:12" ht="22.5" customHeight="1">
      <c r="A10" s="102"/>
      <c r="B10" s="103"/>
      <c r="C10" s="104"/>
      <c r="D10" s="105"/>
      <c r="E10" s="105"/>
      <c r="F10" s="104"/>
      <c r="G10" s="105"/>
      <c r="H10" s="104"/>
      <c r="I10" s="104"/>
      <c r="J10" s="105"/>
      <c r="K10" s="105"/>
      <c r="L10" s="105"/>
    </row>
    <row r="11" spans="1:12" ht="22.5" customHeight="1">
      <c r="A11" s="102"/>
      <c r="B11" s="106"/>
      <c r="C11" s="104"/>
      <c r="D11" s="105"/>
      <c r="E11" s="105"/>
      <c r="F11" s="104"/>
      <c r="G11" s="105"/>
      <c r="H11" s="104"/>
      <c r="I11" s="104"/>
      <c r="J11" s="105"/>
      <c r="K11" s="105"/>
      <c r="L11" s="105"/>
    </row>
    <row r="12" spans="1:14" ht="23.25" customHeight="1">
      <c r="A12" s="106"/>
      <c r="B12" s="102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N12" s="23"/>
    </row>
    <row r="13" spans="6:12" ht="23.25" customHeight="1">
      <c r="F13" s="23"/>
      <c r="K13" s="23" t="e">
        <f>G12+I12+#REF!</f>
        <v>#REF!</v>
      </c>
      <c r="L13" s="23"/>
    </row>
    <row r="14" spans="6:12" ht="15">
      <c r="F14" s="23"/>
      <c r="G14" s="23"/>
      <c r="H14" s="23"/>
      <c r="I14" s="23"/>
      <c r="J14" s="23"/>
      <c r="K14" s="23"/>
      <c r="L14" s="23"/>
    </row>
    <row r="15" ht="15">
      <c r="J15" s="33"/>
    </row>
    <row r="16" ht="15">
      <c r="I16" s="23"/>
    </row>
  </sheetData>
  <sheetProtection/>
  <mergeCells count="1">
    <mergeCell ref="A1:L1"/>
  </mergeCells>
  <printOptions/>
  <pageMargins left="0.22" right="0.2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.8515625" style="27" customWidth="1"/>
    <col min="2" max="2" width="37.7109375" style="27" customWidth="1"/>
    <col min="3" max="3" width="13.421875" style="27" customWidth="1"/>
    <col min="4" max="4" width="13.8515625" style="27" customWidth="1"/>
    <col min="5" max="5" width="16.57421875" style="27" customWidth="1"/>
    <col min="6" max="8" width="9.57421875" style="27" bestFit="1" customWidth="1"/>
    <col min="9" max="9" width="12.00390625" style="27" customWidth="1"/>
    <col min="10" max="16384" width="9.140625" style="27" customWidth="1"/>
  </cols>
  <sheetData>
    <row r="1" spans="2:5" ht="15">
      <c r="B1" s="136" t="s">
        <v>48</v>
      </c>
      <c r="C1" s="136"/>
      <c r="D1" s="136"/>
      <c r="E1" s="136"/>
    </row>
    <row r="2" spans="2:5" ht="15">
      <c r="B2" s="136" t="s">
        <v>49</v>
      </c>
      <c r="C2" s="136"/>
      <c r="D2" s="136"/>
      <c r="E2" s="136"/>
    </row>
    <row r="3" spans="2:5" ht="15.75">
      <c r="B3" s="137" t="s">
        <v>185</v>
      </c>
      <c r="C3" s="137"/>
      <c r="D3" s="137"/>
      <c r="E3" s="137"/>
    </row>
    <row r="4" spans="2:5" ht="20.25">
      <c r="B4" s="138" t="s">
        <v>186</v>
      </c>
      <c r="C4" s="138"/>
      <c r="D4" s="138"/>
      <c r="E4" s="138"/>
    </row>
    <row r="5" spans="2:5" ht="15">
      <c r="B5" s="139"/>
      <c r="C5" s="139"/>
      <c r="D5" s="139"/>
      <c r="E5" s="139"/>
    </row>
    <row r="6" spans="2:5" ht="15">
      <c r="B6" s="139"/>
      <c r="C6" s="139"/>
      <c r="D6" s="139"/>
      <c r="E6" s="139"/>
    </row>
    <row r="7" spans="2:5" ht="15">
      <c r="B7" s="16"/>
      <c r="C7" s="16"/>
      <c r="D7" s="16"/>
      <c r="E7" s="16"/>
    </row>
    <row r="8" spans="1:5" ht="38.25">
      <c r="A8" s="11"/>
      <c r="B8" s="17" t="s">
        <v>50</v>
      </c>
      <c r="C8" s="17"/>
      <c r="D8" s="17" t="s">
        <v>51</v>
      </c>
      <c r="E8" s="17" t="s">
        <v>52</v>
      </c>
    </row>
    <row r="9" spans="1:5" ht="15">
      <c r="A9" s="11">
        <v>1</v>
      </c>
      <c r="B9" s="18" t="s">
        <v>53</v>
      </c>
      <c r="C9" s="36">
        <v>13612.5</v>
      </c>
      <c r="D9" s="34">
        <f>SUM(D19+D10)</f>
        <v>0</v>
      </c>
      <c r="E9" s="35">
        <f>C9-D9</f>
        <v>13612.5</v>
      </c>
    </row>
    <row r="10" spans="1:8" ht="15">
      <c r="A10" s="11">
        <v>2</v>
      </c>
      <c r="B10" s="19" t="s">
        <v>54</v>
      </c>
      <c r="C10" s="34">
        <f>SUM(C11:C13)</f>
        <v>1769</v>
      </c>
      <c r="D10" s="34">
        <f>SUM(D11:D13)</f>
        <v>0</v>
      </c>
      <c r="E10" s="34">
        <f>SUM(C10-D10)</f>
        <v>1769</v>
      </c>
      <c r="H10" s="12"/>
    </row>
    <row r="11" spans="1:5" ht="15">
      <c r="A11" s="20" t="s">
        <v>55</v>
      </c>
      <c r="B11" s="18" t="s">
        <v>56</v>
      </c>
      <c r="C11" s="36">
        <v>1769</v>
      </c>
      <c r="D11" s="36">
        <f>D19*70/100*13/100</f>
        <v>0</v>
      </c>
      <c r="E11" s="35">
        <f>SUM(C11-D11)</f>
        <v>1769</v>
      </c>
    </row>
    <row r="12" spans="1:5" ht="15">
      <c r="A12" s="20" t="s">
        <v>57</v>
      </c>
      <c r="B12" s="18" t="s">
        <v>58</v>
      </c>
      <c r="C12" s="36">
        <v>0</v>
      </c>
      <c r="D12" s="36"/>
      <c r="E12" s="35">
        <f>SUM(C12-D12)</f>
        <v>0</v>
      </c>
    </row>
    <row r="13" spans="1:5" ht="15">
      <c r="A13" s="20" t="s">
        <v>59</v>
      </c>
      <c r="B13" s="19" t="s">
        <v>60</v>
      </c>
      <c r="C13" s="34">
        <f>SUM(C14:C17)</f>
        <v>0</v>
      </c>
      <c r="D13" s="34">
        <f>SUM(D14:D17)</f>
        <v>0</v>
      </c>
      <c r="E13" s="34">
        <f>C13-D13</f>
        <v>0</v>
      </c>
    </row>
    <row r="14" spans="1:5" ht="15">
      <c r="A14" s="20" t="s">
        <v>61</v>
      </c>
      <c r="B14" s="18" t="s">
        <v>62</v>
      </c>
      <c r="C14" s="36">
        <v>0</v>
      </c>
      <c r="D14" s="36"/>
      <c r="E14" s="35">
        <f>C14-D14</f>
        <v>0</v>
      </c>
    </row>
    <row r="15" spans="1:5" ht="15">
      <c r="A15" s="20" t="s">
        <v>63</v>
      </c>
      <c r="B15" s="18" t="s">
        <v>64</v>
      </c>
      <c r="C15" s="36">
        <v>0</v>
      </c>
      <c r="D15" s="36"/>
      <c r="E15" s="35">
        <f>SUM(C13-D13)</f>
        <v>0</v>
      </c>
    </row>
    <row r="16" spans="1:5" ht="15">
      <c r="A16" s="20" t="s">
        <v>65</v>
      </c>
      <c r="B16" s="18" t="s">
        <v>66</v>
      </c>
      <c r="C16" s="36">
        <v>0</v>
      </c>
      <c r="D16" s="36"/>
      <c r="E16" s="35">
        <f>C16-D16</f>
        <v>0</v>
      </c>
    </row>
    <row r="17" spans="1:5" ht="15">
      <c r="A17" s="20" t="s">
        <v>67</v>
      </c>
      <c r="B17" s="18" t="s">
        <v>68</v>
      </c>
      <c r="C17" s="36"/>
      <c r="D17" s="36"/>
      <c r="E17" s="35">
        <f>C17-D17</f>
        <v>0</v>
      </c>
    </row>
    <row r="18" spans="1:5" ht="15">
      <c r="A18" s="20"/>
      <c r="B18" s="18"/>
      <c r="C18" s="36"/>
      <c r="D18" s="36"/>
      <c r="E18" s="35"/>
    </row>
    <row r="19" spans="1:5" ht="15" customHeight="1">
      <c r="A19" s="20" t="s">
        <v>69</v>
      </c>
      <c r="B19" s="19" t="s">
        <v>70</v>
      </c>
      <c r="C19" s="54">
        <f>C9-C10</f>
        <v>11843.5</v>
      </c>
      <c r="D19" s="36">
        <v>0</v>
      </c>
      <c r="E19" s="55">
        <f aca="true" t="shared" si="0" ref="E19:E24">C19-D19</f>
        <v>11843.5</v>
      </c>
    </row>
    <row r="20" spans="1:8" ht="15">
      <c r="A20" s="20" t="s">
        <v>71</v>
      </c>
      <c r="B20" s="19" t="s">
        <v>72</v>
      </c>
      <c r="C20" s="34">
        <f>SUM(C21:C24)</f>
        <v>4110.98</v>
      </c>
      <c r="D20" s="34">
        <f>SUM(D21:D25)</f>
        <v>0</v>
      </c>
      <c r="E20" s="34">
        <f>C20-D20</f>
        <v>4110.98</v>
      </c>
      <c r="G20" s="12"/>
      <c r="H20" s="12"/>
    </row>
    <row r="21" spans="1:7" ht="15.75" customHeight="1">
      <c r="A21" s="20" t="s">
        <v>73</v>
      </c>
      <c r="B21" s="18" t="s">
        <v>74</v>
      </c>
      <c r="C21" s="56">
        <v>2599.99</v>
      </c>
      <c r="D21" s="36"/>
      <c r="E21" s="35">
        <f t="shared" si="0"/>
        <v>2599.99</v>
      </c>
      <c r="G21" s="12"/>
    </row>
    <row r="22" spans="1:6" ht="15" hidden="1">
      <c r="A22" s="20"/>
      <c r="B22" s="18" t="s">
        <v>75</v>
      </c>
      <c r="C22" s="36"/>
      <c r="D22" s="36"/>
      <c r="E22" s="35"/>
      <c r="F22" s="12"/>
    </row>
    <row r="23" spans="1:6" ht="16.5" customHeight="1">
      <c r="A23" s="20"/>
      <c r="B23" s="18" t="s">
        <v>76</v>
      </c>
      <c r="C23" s="36">
        <v>816.75</v>
      </c>
      <c r="D23" s="36"/>
      <c r="E23" s="35">
        <f>C23</f>
        <v>816.75</v>
      </c>
      <c r="F23" s="12"/>
    </row>
    <row r="24" spans="1:5" ht="15">
      <c r="A24" s="20" t="s">
        <v>77</v>
      </c>
      <c r="B24" s="18" t="s">
        <v>187</v>
      </c>
      <c r="C24" s="36">
        <v>694.24</v>
      </c>
      <c r="D24" s="36"/>
      <c r="E24" s="35">
        <f t="shared" si="0"/>
        <v>694.24</v>
      </c>
    </row>
    <row r="25" spans="1:5" ht="15" hidden="1">
      <c r="A25" s="20" t="s">
        <v>78</v>
      </c>
      <c r="B25" s="18" t="s">
        <v>79</v>
      </c>
      <c r="C25" s="36"/>
      <c r="D25" s="36"/>
      <c r="E25" s="35"/>
    </row>
    <row r="26" spans="1:5" ht="15">
      <c r="A26" s="20" t="s">
        <v>80</v>
      </c>
      <c r="B26" s="19" t="s">
        <v>81</v>
      </c>
      <c r="C26" s="34">
        <f>SUM(C27:C28)</f>
        <v>0</v>
      </c>
      <c r="D26" s="37"/>
      <c r="E26" s="34">
        <f>C26-D26</f>
        <v>0</v>
      </c>
    </row>
    <row r="27" spans="1:6" ht="15">
      <c r="A27" s="20" t="s">
        <v>82</v>
      </c>
      <c r="B27" s="18" t="s">
        <v>83</v>
      </c>
      <c r="C27" s="36">
        <v>0</v>
      </c>
      <c r="D27" s="36"/>
      <c r="E27" s="35">
        <v>0</v>
      </c>
      <c r="F27" s="12"/>
    </row>
    <row r="28" spans="1:5" ht="15">
      <c r="A28" s="20" t="s">
        <v>84</v>
      </c>
      <c r="B28" s="18" t="s">
        <v>85</v>
      </c>
      <c r="C28" s="36"/>
      <c r="D28" s="36"/>
      <c r="E28" s="35">
        <f>C28-D28</f>
        <v>0</v>
      </c>
    </row>
    <row r="29" spans="1:6" ht="15">
      <c r="A29" s="20" t="s">
        <v>86</v>
      </c>
      <c r="B29" s="19" t="s">
        <v>87</v>
      </c>
      <c r="C29" s="36">
        <v>0</v>
      </c>
      <c r="D29" s="36"/>
      <c r="E29" s="35">
        <f>C29-D29</f>
        <v>0</v>
      </c>
      <c r="F29" s="12"/>
    </row>
    <row r="30" spans="1:7" ht="15">
      <c r="A30" s="20"/>
      <c r="B30" s="18"/>
      <c r="C30" s="36"/>
      <c r="D30" s="36"/>
      <c r="E30" s="35"/>
      <c r="G30" s="12"/>
    </row>
    <row r="31" spans="1:5" ht="15">
      <c r="A31" s="20" t="s">
        <v>88</v>
      </c>
      <c r="B31" s="18" t="s">
        <v>89</v>
      </c>
      <c r="C31" s="57">
        <f>C26-C29</f>
        <v>0</v>
      </c>
      <c r="D31" s="36"/>
      <c r="E31" s="35">
        <f>E27-E29</f>
        <v>0</v>
      </c>
    </row>
    <row r="32" spans="1:8" ht="18.75" customHeight="1">
      <c r="A32" s="20" t="s">
        <v>90</v>
      </c>
      <c r="B32" s="19" t="s">
        <v>91</v>
      </c>
      <c r="C32" s="38">
        <f>C19+C31</f>
        <v>11843.5</v>
      </c>
      <c r="D32" s="38">
        <f>D19+D26</f>
        <v>0</v>
      </c>
      <c r="E32" s="38">
        <f>E19+E31</f>
        <v>11843.5</v>
      </c>
      <c r="G32" s="12"/>
      <c r="H32" s="12"/>
    </row>
    <row r="33" spans="2:5" ht="15">
      <c r="B33" s="16"/>
      <c r="C33" s="58"/>
      <c r="D33" s="58"/>
      <c r="E33" s="58"/>
    </row>
    <row r="34" spans="2:6" ht="15">
      <c r="B34" s="16"/>
      <c r="C34" s="58"/>
      <c r="D34" s="58" t="s">
        <v>92</v>
      </c>
      <c r="E34" s="59">
        <f>C32</f>
        <v>11843.5</v>
      </c>
      <c r="F34" s="12"/>
    </row>
    <row r="35" spans="2:5" ht="30.75" customHeight="1">
      <c r="B35" s="21" t="s">
        <v>188</v>
      </c>
      <c r="C35" s="21"/>
      <c r="D35" s="16"/>
      <c r="E35" s="16"/>
    </row>
    <row r="38" ht="15">
      <c r="B38" s="12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5"/>
  <cols>
    <col min="1" max="1" width="5.00390625" style="42" customWidth="1"/>
    <col min="2" max="2" width="13.421875" style="14" customWidth="1"/>
    <col min="3" max="3" width="17.7109375" style="14" customWidth="1"/>
    <col min="4" max="4" width="25.57421875" style="14" customWidth="1"/>
    <col min="5" max="5" width="25.8515625" style="14" customWidth="1"/>
    <col min="6" max="6" width="27.28125" style="14" customWidth="1"/>
    <col min="7" max="7" width="7.8515625" style="14" customWidth="1"/>
    <col min="8" max="8" width="6.421875" style="14" customWidth="1"/>
    <col min="9" max="9" width="10.140625" style="14" customWidth="1"/>
    <col min="10" max="10" width="4.7109375" style="14" bestFit="1" customWidth="1"/>
    <col min="11" max="11" width="5.140625" style="14" bestFit="1" customWidth="1"/>
    <col min="12" max="12" width="5.140625" style="14" customWidth="1"/>
    <col min="13" max="13" width="7.140625" style="14" customWidth="1"/>
    <col min="14" max="14" width="8.28125" style="14" customWidth="1"/>
    <col min="15" max="15" width="5.57421875" style="14" customWidth="1"/>
    <col min="16" max="16" width="4.421875" style="14" customWidth="1"/>
    <col min="17" max="17" width="13.8515625" style="14" customWidth="1"/>
    <col min="18" max="18" width="40.57421875" style="42" customWidth="1"/>
    <col min="19" max="19" width="26.57421875" style="14" customWidth="1"/>
    <col min="20" max="20" width="11.140625" style="42" customWidth="1"/>
    <col min="21" max="16384" width="9.140625" style="14" customWidth="1"/>
  </cols>
  <sheetData>
    <row r="1" spans="1:20" s="15" customFormat="1" ht="15.75">
      <c r="A1" s="141" t="s">
        <v>96</v>
      </c>
      <c r="B1" s="141"/>
      <c r="C1" s="141"/>
      <c r="D1" s="41">
        <v>366</v>
      </c>
      <c r="R1" s="40"/>
      <c r="T1" s="40"/>
    </row>
    <row r="2" spans="1:20" s="15" customFormat="1" ht="15.75">
      <c r="A2" s="40"/>
      <c r="G2" s="41"/>
      <c r="R2" s="40"/>
      <c r="T2" s="40"/>
    </row>
    <row r="3" spans="1:20" s="15" customFormat="1" ht="15.75">
      <c r="A3" s="41" t="s">
        <v>97</v>
      </c>
      <c r="R3" s="40"/>
      <c r="T3" s="40"/>
    </row>
    <row r="5" spans="1:20" s="44" customFormat="1" ht="63">
      <c r="A5" s="43" t="s">
        <v>98</v>
      </c>
      <c r="B5" s="43" t="s">
        <v>99</v>
      </c>
      <c r="C5" s="43" t="s">
        <v>100</v>
      </c>
      <c r="D5" s="43" t="s">
        <v>44</v>
      </c>
      <c r="E5" s="43" t="s">
        <v>101</v>
      </c>
      <c r="F5" s="43" t="s">
        <v>102</v>
      </c>
      <c r="G5" s="43" t="s">
        <v>103</v>
      </c>
      <c r="H5" s="43" t="s">
        <v>104</v>
      </c>
      <c r="I5" s="43" t="s">
        <v>105</v>
      </c>
      <c r="J5" s="43" t="s">
        <v>106</v>
      </c>
      <c r="K5" s="43" t="s">
        <v>107</v>
      </c>
      <c r="L5" s="43" t="s">
        <v>108</v>
      </c>
      <c r="M5" s="43" t="s">
        <v>109</v>
      </c>
      <c r="N5" s="43" t="s">
        <v>110</v>
      </c>
      <c r="O5" s="43" t="s">
        <v>111</v>
      </c>
      <c r="P5" s="43" t="s">
        <v>112</v>
      </c>
      <c r="Q5" s="43" t="s">
        <v>113</v>
      </c>
      <c r="R5" s="43" t="s">
        <v>45</v>
      </c>
      <c r="S5" s="43" t="s">
        <v>114</v>
      </c>
      <c r="T5" s="43" t="s">
        <v>115</v>
      </c>
    </row>
    <row r="6" spans="1:20" s="51" customFormat="1" ht="93.75" customHeight="1">
      <c r="A6" s="45">
        <v>1</v>
      </c>
      <c r="B6" s="46" t="s">
        <v>161</v>
      </c>
      <c r="C6" s="47" t="s">
        <v>138</v>
      </c>
      <c r="D6" s="48" t="s">
        <v>116</v>
      </c>
      <c r="E6" s="46" t="s">
        <v>143</v>
      </c>
      <c r="F6" s="47" t="s">
        <v>142</v>
      </c>
      <c r="G6" s="45">
        <v>3</v>
      </c>
      <c r="H6" s="46" t="s">
        <v>117</v>
      </c>
      <c r="I6" s="46" t="s">
        <v>118</v>
      </c>
      <c r="J6" s="46" t="s">
        <v>119</v>
      </c>
      <c r="K6" s="46">
        <v>211</v>
      </c>
      <c r="L6" s="46">
        <v>800</v>
      </c>
      <c r="M6" s="46" t="s">
        <v>120</v>
      </c>
      <c r="N6" s="46" t="s">
        <v>139</v>
      </c>
      <c r="O6" s="46" t="s">
        <v>140</v>
      </c>
      <c r="P6" s="46" t="s">
        <v>90</v>
      </c>
      <c r="Q6" s="49" t="s">
        <v>141</v>
      </c>
      <c r="R6" s="45"/>
      <c r="S6" s="50" t="s">
        <v>155</v>
      </c>
      <c r="T6" s="48">
        <f>МО5!E34</f>
        <v>11843.5</v>
      </c>
    </row>
    <row r="7" spans="1:20" s="51" customFormat="1" ht="78" customHeight="1">
      <c r="A7" s="45">
        <v>2</v>
      </c>
      <c r="B7" s="60" t="str">
        <f>B6</f>
        <v>21.12.2011</v>
      </c>
      <c r="C7" s="47" t="s">
        <v>138</v>
      </c>
      <c r="D7" s="48" t="s">
        <v>137</v>
      </c>
      <c r="E7" s="46" t="s">
        <v>46</v>
      </c>
      <c r="F7" s="47" t="s">
        <v>121</v>
      </c>
      <c r="G7" s="45">
        <v>3</v>
      </c>
      <c r="H7" s="46" t="s">
        <v>117</v>
      </c>
      <c r="I7" s="46" t="s">
        <v>118</v>
      </c>
      <c r="J7" s="46" t="s">
        <v>119</v>
      </c>
      <c r="K7" s="46" t="s">
        <v>122</v>
      </c>
      <c r="L7" s="46" t="s">
        <v>123</v>
      </c>
      <c r="M7" s="46" t="s">
        <v>120</v>
      </c>
      <c r="N7" s="46" t="s">
        <v>139</v>
      </c>
      <c r="O7" s="46" t="s">
        <v>140</v>
      </c>
      <c r="P7" s="46" t="s">
        <v>90</v>
      </c>
      <c r="Q7" s="49" t="s">
        <v>141</v>
      </c>
      <c r="R7" s="45" t="s">
        <v>162</v>
      </c>
      <c r="S7" s="50" t="s">
        <v>156</v>
      </c>
      <c r="T7" s="48">
        <f>МО5!C10</f>
        <v>1769</v>
      </c>
    </row>
    <row r="8" spans="1:20" s="51" customFormat="1" ht="122.25" customHeight="1">
      <c r="A8" s="45">
        <v>3</v>
      </c>
      <c r="B8" s="60" t="str">
        <f>B6</f>
        <v>21.12.2011</v>
      </c>
      <c r="C8" s="47" t="s">
        <v>138</v>
      </c>
      <c r="D8" s="45" t="s">
        <v>47</v>
      </c>
      <c r="E8" s="46" t="s">
        <v>46</v>
      </c>
      <c r="F8" s="45" t="s">
        <v>124</v>
      </c>
      <c r="G8" s="45">
        <v>3</v>
      </c>
      <c r="H8" s="46" t="s">
        <v>117</v>
      </c>
      <c r="I8" s="46" t="s">
        <v>118</v>
      </c>
      <c r="J8" s="46" t="s">
        <v>119</v>
      </c>
      <c r="K8" s="46" t="s">
        <v>125</v>
      </c>
      <c r="L8" s="46">
        <v>800</v>
      </c>
      <c r="M8" s="46" t="s">
        <v>120</v>
      </c>
      <c r="N8" s="46" t="s">
        <v>139</v>
      </c>
      <c r="O8" s="46" t="s">
        <v>140</v>
      </c>
      <c r="P8" s="46" t="s">
        <v>90</v>
      </c>
      <c r="Q8" s="49" t="s">
        <v>141</v>
      </c>
      <c r="R8" s="45" t="s">
        <v>163</v>
      </c>
      <c r="S8" s="50" t="s">
        <v>157</v>
      </c>
      <c r="T8" s="48">
        <f>МО5!C21</f>
        <v>2599.99</v>
      </c>
    </row>
    <row r="9" spans="1:20" s="51" customFormat="1" ht="125.25" customHeight="1">
      <c r="A9" s="45">
        <v>4</v>
      </c>
      <c r="B9" s="60" t="str">
        <f>B6</f>
        <v>21.12.2011</v>
      </c>
      <c r="C9" s="47" t="s">
        <v>138</v>
      </c>
      <c r="D9" s="45" t="s">
        <v>47</v>
      </c>
      <c r="E9" s="46" t="s">
        <v>46</v>
      </c>
      <c r="F9" s="45" t="s">
        <v>126</v>
      </c>
      <c r="G9" s="45">
        <v>3</v>
      </c>
      <c r="H9" s="46" t="s">
        <v>117</v>
      </c>
      <c r="I9" s="46" t="s">
        <v>118</v>
      </c>
      <c r="J9" s="46" t="s">
        <v>119</v>
      </c>
      <c r="K9" s="46" t="s">
        <v>125</v>
      </c>
      <c r="L9" s="46">
        <v>800</v>
      </c>
      <c r="M9" s="46" t="s">
        <v>120</v>
      </c>
      <c r="N9" s="46" t="s">
        <v>139</v>
      </c>
      <c r="O9" s="46" t="s">
        <v>140</v>
      </c>
      <c r="P9" s="46" t="s">
        <v>90</v>
      </c>
      <c r="Q9" s="49" t="s">
        <v>141</v>
      </c>
      <c r="R9" s="45" t="s">
        <v>164</v>
      </c>
      <c r="S9" s="50" t="s">
        <v>158</v>
      </c>
      <c r="T9" s="48">
        <f>МО5!C23</f>
        <v>816.75</v>
      </c>
    </row>
    <row r="10" spans="1:20" s="51" customFormat="1" ht="137.25" customHeight="1">
      <c r="A10" s="45">
        <v>5</v>
      </c>
      <c r="B10" s="60" t="str">
        <f>B6</f>
        <v>21.12.2011</v>
      </c>
      <c r="C10" s="47" t="s">
        <v>138</v>
      </c>
      <c r="D10" s="45" t="s">
        <v>47</v>
      </c>
      <c r="E10" s="46" t="s">
        <v>46</v>
      </c>
      <c r="F10" s="45" t="s">
        <v>127</v>
      </c>
      <c r="G10" s="45">
        <v>3</v>
      </c>
      <c r="H10" s="46" t="s">
        <v>117</v>
      </c>
      <c r="I10" s="46" t="s">
        <v>118</v>
      </c>
      <c r="J10" s="46" t="s">
        <v>119</v>
      </c>
      <c r="K10" s="46" t="s">
        <v>125</v>
      </c>
      <c r="L10" s="46">
        <v>800</v>
      </c>
      <c r="M10" s="46" t="s">
        <v>120</v>
      </c>
      <c r="N10" s="46" t="s">
        <v>139</v>
      </c>
      <c r="O10" s="46" t="s">
        <v>140</v>
      </c>
      <c r="P10" s="46" t="s">
        <v>90</v>
      </c>
      <c r="Q10" s="49" t="s">
        <v>141</v>
      </c>
      <c r="R10" s="45" t="s">
        <v>165</v>
      </c>
      <c r="S10" s="50" t="s">
        <v>159</v>
      </c>
      <c r="T10" s="48" t="e">
        <f>МО5!#REF!</f>
        <v>#REF!</v>
      </c>
    </row>
    <row r="11" spans="1:20" s="51" customFormat="1" ht="132.75" customHeight="1">
      <c r="A11" s="45">
        <v>6</v>
      </c>
      <c r="B11" s="60" t="str">
        <f>B6</f>
        <v>21.12.2011</v>
      </c>
      <c r="C11" s="47" t="s">
        <v>138</v>
      </c>
      <c r="D11" s="45" t="s">
        <v>47</v>
      </c>
      <c r="E11" s="46" t="s">
        <v>46</v>
      </c>
      <c r="F11" s="45" t="s">
        <v>126</v>
      </c>
      <c r="G11" s="45">
        <v>3</v>
      </c>
      <c r="H11" s="46" t="s">
        <v>117</v>
      </c>
      <c r="I11" s="46" t="s">
        <v>118</v>
      </c>
      <c r="J11" s="46" t="s">
        <v>119</v>
      </c>
      <c r="K11" s="46" t="s">
        <v>125</v>
      </c>
      <c r="L11" s="46">
        <v>800</v>
      </c>
      <c r="M11" s="46" t="s">
        <v>120</v>
      </c>
      <c r="N11" s="46" t="s">
        <v>139</v>
      </c>
      <c r="O11" s="46" t="s">
        <v>140</v>
      </c>
      <c r="P11" s="46" t="s">
        <v>90</v>
      </c>
      <c r="Q11" s="49" t="s">
        <v>141</v>
      </c>
      <c r="R11" s="45" t="s">
        <v>166</v>
      </c>
      <c r="S11" s="50" t="s">
        <v>160</v>
      </c>
      <c r="T11" s="48">
        <f>МО5!C24</f>
        <v>694.24</v>
      </c>
    </row>
    <row r="12" spans="1:20" s="15" customFormat="1" ht="15.75">
      <c r="A12" s="140" t="s">
        <v>128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52" t="e">
        <f>SUM(T6:T11)</f>
        <v>#REF!</v>
      </c>
    </row>
    <row r="17" spans="1:20" s="15" customFormat="1" ht="15.75">
      <c r="A17" s="41" t="s">
        <v>129</v>
      </c>
      <c r="R17" s="42" t="s">
        <v>130</v>
      </c>
      <c r="S17" s="14"/>
      <c r="T17" s="40"/>
    </row>
    <row r="18" spans="1:18" ht="15.75">
      <c r="A18" s="53" t="s">
        <v>131</v>
      </c>
      <c r="R18" s="42" t="s">
        <v>132</v>
      </c>
    </row>
    <row r="19" ht="15.75">
      <c r="A19" s="53"/>
    </row>
    <row r="20" spans="1:20" s="15" customFormat="1" ht="15.75">
      <c r="A20" s="41" t="s">
        <v>144</v>
      </c>
      <c r="R20" s="42" t="s">
        <v>93</v>
      </c>
      <c r="S20" s="14"/>
      <c r="T20" s="40"/>
    </row>
    <row r="21" spans="1:18" ht="15.75">
      <c r="A21" s="53" t="s">
        <v>133</v>
      </c>
      <c r="R21" s="42" t="s">
        <v>94</v>
      </c>
    </row>
    <row r="22" spans="1:18" ht="15.75">
      <c r="A22" s="53"/>
      <c r="R22" s="42" t="s">
        <v>134</v>
      </c>
    </row>
    <row r="23" spans="1:18" ht="15.75">
      <c r="A23" s="53" t="s">
        <v>135</v>
      </c>
      <c r="R23" s="42" t="s">
        <v>136</v>
      </c>
    </row>
  </sheetData>
  <sheetProtection/>
  <mergeCells count="2">
    <mergeCell ref="A12:S12"/>
    <mergeCell ref="A1:C1"/>
  </mergeCells>
  <printOptions/>
  <pageMargins left="0.2" right="0.2" top="0.23" bottom="0.29" header="0.3" footer="0.27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C8"/>
  <sheetViews>
    <sheetView zoomScalePageLayoutView="0" workbookViewId="0" topLeftCell="A1">
      <selection activeCell="G8" sqref="G8"/>
    </sheetView>
  </sheetViews>
  <sheetFormatPr defaultColWidth="9.140625" defaultRowHeight="15"/>
  <cols>
    <col min="3" max="3" width="16.28125" style="0" customWidth="1"/>
  </cols>
  <sheetData>
    <row r="6" spans="2:3" ht="15">
      <c r="B6" s="75" t="s">
        <v>151</v>
      </c>
      <c r="C6" s="12" t="e">
        <f>#REF!+'Нуриева Л.Р.'!U25+'Грошева О.И.'!U25+#REF!+#REF!</f>
        <v>#REF!</v>
      </c>
    </row>
    <row r="7" spans="2:3" ht="15">
      <c r="B7" s="75" t="s">
        <v>152</v>
      </c>
      <c r="C7" s="12" t="e">
        <f>#REF!+'Нуриева Л.Р.'!U26+'Грошева О.И.'!U26+#REF!+#REF!</f>
        <v>#REF!</v>
      </c>
    </row>
    <row r="8" spans="2:3" ht="15">
      <c r="B8" s="75" t="s">
        <v>153</v>
      </c>
      <c r="C8" s="12" t="e">
        <f>#REF!+'Нуриева Л.Р.'!U27+'Грошева О.И.'!U27+#REF!+#REF!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34"/>
  <sheetViews>
    <sheetView tabSelected="1" zoomScalePageLayoutView="0" workbookViewId="0" topLeftCell="A1">
      <selection activeCell="V27" sqref="V27"/>
    </sheetView>
  </sheetViews>
  <sheetFormatPr defaultColWidth="9.140625" defaultRowHeight="15"/>
  <cols>
    <col min="1" max="1" width="5.00390625" style="0" customWidth="1"/>
    <col min="2" max="2" width="4.28125" style="0" customWidth="1"/>
    <col min="3" max="3" width="4.140625" style="0" customWidth="1"/>
    <col min="4" max="4" width="2.7109375" style="0" customWidth="1"/>
    <col min="5" max="5" width="3.8515625" style="0" customWidth="1"/>
    <col min="6" max="6" width="4.421875" style="0" customWidth="1"/>
    <col min="7" max="7" width="2.8515625" style="0" customWidth="1"/>
    <col min="8" max="8" width="4.421875" style="0" customWidth="1"/>
    <col min="9" max="9" width="3.57421875" style="0" customWidth="1"/>
    <col min="10" max="10" width="6.28125" style="0" customWidth="1"/>
    <col min="11" max="11" width="3.00390625" style="0" customWidth="1"/>
    <col min="12" max="12" width="7.7109375" style="0" customWidth="1"/>
    <col min="13" max="13" width="8.00390625" style="0" customWidth="1"/>
    <col min="14" max="14" width="4.421875" style="0" customWidth="1"/>
    <col min="15" max="15" width="4.57421875" style="0" customWidth="1"/>
    <col min="16" max="16" width="4.140625" style="0" customWidth="1"/>
    <col min="17" max="17" width="3.8515625" style="0" customWidth="1"/>
    <col min="18" max="18" width="2.421875" style="0" customWidth="1"/>
    <col min="19" max="19" width="2.28125" style="0" customWidth="1"/>
    <col min="20" max="20" width="4.28125" style="0" customWidth="1"/>
    <col min="21" max="21" width="10.28125" style="0" customWidth="1"/>
  </cols>
  <sheetData>
    <row r="1" spans="1:21" ht="69" customHeight="1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4"/>
    </row>
    <row r="3" spans="1:21" ht="15">
      <c r="A3" s="125" t="s">
        <v>190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ht="15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ht="1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ht="1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ht="53.25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ht="16.5">
      <c r="A9" s="1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14"/>
    </row>
    <row r="10" spans="1:21" ht="16.5">
      <c r="A10" s="1"/>
      <c r="B10" s="1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14">
        <v>14</v>
      </c>
    </row>
    <row r="11" spans="1:21" ht="16.5">
      <c r="A11" s="1"/>
      <c r="B11" s="1" t="s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14">
        <v>2</v>
      </c>
    </row>
    <row r="12" spans="1:21" ht="16.5">
      <c r="A12" s="1"/>
      <c r="B12" s="1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14">
        <v>8</v>
      </c>
    </row>
    <row r="13" spans="1:21" ht="16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14"/>
    </row>
    <row r="14" spans="1:21" ht="16.5">
      <c r="A14" s="114">
        <v>1</v>
      </c>
      <c r="B14" s="1" t="s">
        <v>3</v>
      </c>
      <c r="C14" s="1"/>
      <c r="D14" s="1"/>
      <c r="E14" s="1"/>
      <c r="F14" s="1"/>
      <c r="G14" s="1"/>
      <c r="H14" s="1"/>
      <c r="I14" s="1"/>
      <c r="J14" s="1"/>
      <c r="K14" s="118">
        <f>M32</f>
        <v>5600</v>
      </c>
      <c r="L14" s="118"/>
      <c r="M14" s="118"/>
      <c r="N14" s="1" t="s">
        <v>15</v>
      </c>
      <c r="O14" s="126">
        <v>0.6</v>
      </c>
      <c r="P14" s="126"/>
      <c r="Q14" s="1"/>
      <c r="R14" s="1"/>
      <c r="S14" s="1"/>
      <c r="T14" s="1"/>
      <c r="U14" s="4">
        <f>K14*60%</f>
        <v>3360</v>
      </c>
    </row>
    <row r="15" spans="1:21" ht="16.5">
      <c r="A15" s="114">
        <v>2</v>
      </c>
      <c r="B15" s="1" t="s">
        <v>145</v>
      </c>
      <c r="C15" s="1"/>
      <c r="D15" s="1"/>
      <c r="E15" s="1"/>
      <c r="F15" s="1"/>
      <c r="G15" s="1"/>
      <c r="H15" s="1"/>
      <c r="I15" s="1"/>
      <c r="J15" s="1"/>
      <c r="K15" s="128">
        <f>U14</f>
        <v>3360</v>
      </c>
      <c r="L15" s="118"/>
      <c r="M15" s="118"/>
      <c r="N15" s="1" t="s">
        <v>15</v>
      </c>
      <c r="O15" s="127">
        <v>0.302</v>
      </c>
      <c r="P15" s="127"/>
      <c r="Q15" s="1"/>
      <c r="R15" s="1"/>
      <c r="S15" s="1"/>
      <c r="T15" s="1"/>
      <c r="U15" s="4">
        <f>K15*O15</f>
        <v>1014.7199999999999</v>
      </c>
    </row>
    <row r="16" spans="1:21" ht="16.5">
      <c r="A16" s="114"/>
      <c r="B16" s="5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6">
        <f>SUM(U14:U15)</f>
        <v>4374.72</v>
      </c>
    </row>
    <row r="17" spans="1:21" ht="16.5">
      <c r="A17" s="11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</row>
    <row r="18" spans="1:21" ht="16.5">
      <c r="A18" s="114">
        <v>3</v>
      </c>
      <c r="B18" s="1" t="s">
        <v>6</v>
      </c>
      <c r="C18" s="1"/>
      <c r="D18" s="1"/>
      <c r="E18" s="1"/>
      <c r="F18" s="1"/>
      <c r="G18" s="1"/>
      <c r="H18" s="1"/>
      <c r="I18" s="1"/>
      <c r="J18" s="1"/>
      <c r="K18" s="118">
        <f>M32</f>
        <v>5600</v>
      </c>
      <c r="L18" s="118"/>
      <c r="M18" s="118"/>
      <c r="N18" s="1" t="s">
        <v>15</v>
      </c>
      <c r="O18" s="120" t="s">
        <v>150</v>
      </c>
      <c r="P18" s="120"/>
      <c r="Q18" s="1"/>
      <c r="R18" s="1"/>
      <c r="S18" s="1"/>
      <c r="T18" s="1"/>
      <c r="U18" s="4">
        <f>K18*15%</f>
        <v>840</v>
      </c>
    </row>
    <row r="19" spans="1:21" ht="16.5">
      <c r="A19" s="114">
        <v>4</v>
      </c>
      <c r="B19" s="1" t="s">
        <v>4</v>
      </c>
      <c r="C19" s="1"/>
      <c r="D19" s="1"/>
      <c r="E19" s="1"/>
      <c r="F19" s="1"/>
      <c r="G19" s="1"/>
      <c r="H19" s="1"/>
      <c r="I19" s="1"/>
      <c r="J19" s="1"/>
      <c r="K19" s="121">
        <f>U18</f>
        <v>840</v>
      </c>
      <c r="L19" s="121"/>
      <c r="M19" s="121"/>
      <c r="N19" s="1" t="s">
        <v>15</v>
      </c>
      <c r="O19" s="120" t="s">
        <v>171</v>
      </c>
      <c r="P19" s="120"/>
      <c r="Q19" s="1"/>
      <c r="R19" s="1"/>
      <c r="S19" s="1"/>
      <c r="T19" s="1"/>
      <c r="U19" s="4">
        <f>K19*30.2%</f>
        <v>253.67999999999998</v>
      </c>
    </row>
    <row r="20" spans="1:21" ht="16.5">
      <c r="A20" s="114"/>
      <c r="B20" s="5" t="s">
        <v>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>
        <f>U18+U19</f>
        <v>1093.68</v>
      </c>
    </row>
    <row r="21" spans="1:21" ht="16.5">
      <c r="A21" s="11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4"/>
    </row>
    <row r="22" spans="1:21" ht="16.5">
      <c r="A22" s="114"/>
      <c r="B22" s="5" t="s">
        <v>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>U16+U20</f>
        <v>5468.400000000001</v>
      </c>
    </row>
    <row r="23" spans="1:21" ht="16.5">
      <c r="A23" s="11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4"/>
    </row>
    <row r="24" spans="1:21" ht="16.5">
      <c r="A24" s="115">
        <v>5</v>
      </c>
      <c r="B24" s="122" t="s">
        <v>18</v>
      </c>
      <c r="C24" s="122"/>
      <c r="D24" s="122"/>
      <c r="E24" s="122"/>
      <c r="F24" s="122"/>
      <c r="G24" s="122"/>
      <c r="H24" s="122"/>
      <c r="I24" s="122"/>
      <c r="J24" s="122"/>
      <c r="K24" s="79"/>
      <c r="L24" s="129"/>
      <c r="M24" s="123"/>
      <c r="N24" s="123"/>
      <c r="O24" s="79"/>
      <c r="P24" s="79"/>
      <c r="Q24" s="79"/>
      <c r="R24" s="79"/>
      <c r="S24" s="79"/>
      <c r="T24" s="79"/>
      <c r="U24" s="80">
        <f>U25+U26+U27</f>
        <v>27.28</v>
      </c>
    </row>
    <row r="25" spans="1:21" ht="16.5">
      <c r="A25" s="115"/>
      <c r="B25" s="79" t="s">
        <v>9</v>
      </c>
      <c r="C25" s="79"/>
      <c r="D25" s="79"/>
      <c r="E25" s="79"/>
      <c r="F25" s="79"/>
      <c r="G25" s="79"/>
      <c r="H25" s="79"/>
      <c r="I25" s="81" t="s">
        <v>19</v>
      </c>
      <c r="J25" s="82">
        <v>1.73</v>
      </c>
      <c r="K25" s="115" t="s">
        <v>15</v>
      </c>
      <c r="L25" s="79">
        <v>8</v>
      </c>
      <c r="M25" s="79" t="s">
        <v>21</v>
      </c>
      <c r="N25" s="79" t="s">
        <v>20</v>
      </c>
      <c r="O25" s="79"/>
      <c r="P25" s="79"/>
      <c r="Q25" s="79"/>
      <c r="R25" s="79"/>
      <c r="S25" s="79"/>
      <c r="T25" s="79"/>
      <c r="U25" s="83">
        <f>J25*L25</f>
        <v>13.84</v>
      </c>
    </row>
    <row r="26" spans="1:21" ht="16.5">
      <c r="A26" s="115"/>
      <c r="B26" s="79" t="s">
        <v>10</v>
      </c>
      <c r="C26" s="79"/>
      <c r="D26" s="79"/>
      <c r="E26" s="79"/>
      <c r="F26" s="79"/>
      <c r="G26" s="79"/>
      <c r="H26" s="79"/>
      <c r="I26" s="81" t="s">
        <v>19</v>
      </c>
      <c r="J26" s="82">
        <v>1.26</v>
      </c>
      <c r="K26" s="115" t="s">
        <v>15</v>
      </c>
      <c r="L26" s="79">
        <v>8</v>
      </c>
      <c r="M26" s="79" t="s">
        <v>21</v>
      </c>
      <c r="N26" s="79" t="s">
        <v>20</v>
      </c>
      <c r="O26" s="79"/>
      <c r="P26" s="79"/>
      <c r="Q26" s="79"/>
      <c r="R26" s="79"/>
      <c r="S26" s="79"/>
      <c r="T26" s="79"/>
      <c r="U26" s="83">
        <f>J26*L26</f>
        <v>10.08</v>
      </c>
    </row>
    <row r="27" spans="1:21" ht="16.5">
      <c r="A27" s="115"/>
      <c r="B27" s="79" t="s">
        <v>11</v>
      </c>
      <c r="C27" s="79"/>
      <c r="D27" s="79"/>
      <c r="E27" s="79"/>
      <c r="F27" s="79"/>
      <c r="G27" s="79"/>
      <c r="H27" s="79"/>
      <c r="I27" s="81" t="s">
        <v>19</v>
      </c>
      <c r="J27" s="82">
        <v>0.03</v>
      </c>
      <c r="K27" s="115" t="s">
        <v>15</v>
      </c>
      <c r="L27" s="79">
        <v>8</v>
      </c>
      <c r="M27" s="79" t="s">
        <v>21</v>
      </c>
      <c r="N27" s="115" t="s">
        <v>15</v>
      </c>
      <c r="O27" s="79">
        <f>14</f>
        <v>14</v>
      </c>
      <c r="P27" s="79" t="s">
        <v>16</v>
      </c>
      <c r="Q27" s="79" t="s">
        <v>20</v>
      </c>
      <c r="R27" s="79"/>
      <c r="S27" s="79"/>
      <c r="T27" s="79"/>
      <c r="U27" s="83">
        <f>J27*L27*O27</f>
        <v>3.36</v>
      </c>
    </row>
    <row r="28" spans="1:21" ht="16.5">
      <c r="A28" s="115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3"/>
    </row>
    <row r="29" spans="1:21" ht="16.5">
      <c r="A29" s="115">
        <v>6</v>
      </c>
      <c r="B29" s="79" t="s">
        <v>12</v>
      </c>
      <c r="C29" s="79"/>
      <c r="D29" s="79"/>
      <c r="E29" s="79"/>
      <c r="F29" s="79"/>
      <c r="G29" s="79"/>
      <c r="H29" s="79"/>
      <c r="I29" s="79"/>
      <c r="J29" s="129"/>
      <c r="K29" s="123"/>
      <c r="L29" s="123" t="s">
        <v>23</v>
      </c>
      <c r="M29" s="123"/>
      <c r="N29" s="123"/>
      <c r="O29" s="123"/>
      <c r="P29" s="123"/>
      <c r="Q29" s="79"/>
      <c r="R29" s="79"/>
      <c r="S29" s="79"/>
      <c r="T29" s="79"/>
      <c r="U29" s="80">
        <f>M32-U22-U24</f>
        <v>104.31999999999945</v>
      </c>
    </row>
    <row r="30" spans="1:21" ht="16.5">
      <c r="A30" s="1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1" ht="16.5">
      <c r="A31" s="1"/>
      <c r="B31" s="1" t="s">
        <v>13</v>
      </c>
      <c r="C31" s="1"/>
      <c r="D31" s="1"/>
      <c r="E31" s="1"/>
      <c r="F31" s="1"/>
      <c r="G31" s="1"/>
      <c r="H31" s="1"/>
      <c r="I31" s="1"/>
      <c r="J31" s="1"/>
      <c r="K31" s="1"/>
      <c r="L31" s="118" t="s">
        <v>22</v>
      </c>
      <c r="M31" s="118"/>
      <c r="N31" s="118"/>
      <c r="O31" s="118"/>
      <c r="P31" s="118"/>
      <c r="Q31" s="1"/>
      <c r="R31" s="1"/>
      <c r="S31" s="1"/>
      <c r="T31" s="1"/>
      <c r="U31" s="101">
        <f>U22+U24+U29</f>
        <v>5600</v>
      </c>
    </row>
    <row r="32" spans="1:21" ht="16.5">
      <c r="A32" s="1"/>
      <c r="B32" s="1">
        <v>50</v>
      </c>
      <c r="C32" s="1" t="s">
        <v>14</v>
      </c>
      <c r="D32" s="114" t="s">
        <v>15</v>
      </c>
      <c r="E32" s="114">
        <f>14</f>
        <v>14</v>
      </c>
      <c r="F32" s="1" t="s">
        <v>16</v>
      </c>
      <c r="G32" s="114" t="s">
        <v>15</v>
      </c>
      <c r="H32" s="1">
        <v>8</v>
      </c>
      <c r="I32" s="114" t="s">
        <v>17</v>
      </c>
      <c r="J32" s="118"/>
      <c r="K32" s="118"/>
      <c r="L32" s="1"/>
      <c r="M32" s="1">
        <f>B32*E32*H32</f>
        <v>5600</v>
      </c>
      <c r="N32" s="1"/>
      <c r="O32" s="1"/>
      <c r="P32" s="1"/>
      <c r="Q32" s="1"/>
      <c r="R32" s="1"/>
      <c r="S32" s="1"/>
      <c r="T32" s="1"/>
      <c r="U32" s="114"/>
    </row>
    <row r="33" spans="1:21" ht="16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14"/>
    </row>
    <row r="34" spans="1:21" ht="16.5">
      <c r="A34" s="1"/>
      <c r="B34" s="143" t="s">
        <v>189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"/>
      <c r="S34" s="1"/>
      <c r="T34" s="1"/>
      <c r="U34" s="114"/>
    </row>
  </sheetData>
  <sheetProtection/>
  <mergeCells count="17">
    <mergeCell ref="L24:N24"/>
    <mergeCell ref="A1:U1"/>
    <mergeCell ref="A3:U8"/>
    <mergeCell ref="K14:M14"/>
    <mergeCell ref="O14:P14"/>
    <mergeCell ref="K15:M15"/>
    <mergeCell ref="O15:P15"/>
    <mergeCell ref="B34:Q34"/>
    <mergeCell ref="J29:K29"/>
    <mergeCell ref="L29:P29"/>
    <mergeCell ref="L31:P31"/>
    <mergeCell ref="J32:K32"/>
    <mergeCell ref="K18:M18"/>
    <mergeCell ref="O18:P18"/>
    <mergeCell ref="K19:M19"/>
    <mergeCell ref="O19:P19"/>
    <mergeCell ref="B24:J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2013-02-02T03:26:45Z</dcterms:modified>
  <cp:category/>
  <cp:version/>
  <cp:contentType/>
  <cp:contentStatus/>
</cp:coreProperties>
</file>